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 activeTab="1"/>
  </bookViews>
  <sheets>
    <sheet name="Starting age 21" sheetId="1" r:id="rId1"/>
    <sheet name="Starting age 25" sheetId="2" r:id="rId2"/>
    <sheet name="Starting age 30" sheetId="3" r:id="rId3"/>
    <sheet name="Starting age 35" sheetId="4" r:id="rId4"/>
    <sheet name="Starting age 40" sheetId="5" r:id="rId5"/>
    <sheet name="Starting age 45" sheetId="6" r:id="rId6"/>
    <sheet name="Charts" sheetId="7" r:id="rId7"/>
  </sheets>
  <calcPr calcId="145621"/>
</workbook>
</file>

<file path=xl/calcChain.xml><?xml version="1.0" encoding="utf-8"?>
<calcChain xmlns="http://schemas.openxmlformats.org/spreadsheetml/2006/main">
  <c r="N6" i="1" l="1"/>
  <c r="AY56" i="7"/>
  <c r="AY29" i="7"/>
  <c r="B59" i="6"/>
  <c r="C59" i="6" s="1"/>
  <c r="B58" i="6"/>
  <c r="C58" i="6" s="1"/>
  <c r="B57" i="6"/>
  <c r="C57" i="6" s="1"/>
  <c r="C56" i="6"/>
  <c r="B56" i="6"/>
  <c r="B55" i="6"/>
  <c r="C55" i="6" s="1"/>
  <c r="C54" i="6"/>
  <c r="B54" i="6"/>
  <c r="C53" i="6"/>
  <c r="B53" i="6"/>
  <c r="C52" i="6"/>
  <c r="B52" i="6"/>
  <c r="C51" i="6"/>
  <c r="B51" i="6"/>
  <c r="C50" i="6"/>
  <c r="B50" i="6"/>
  <c r="B47" i="6"/>
  <c r="C47" i="6" s="1"/>
  <c r="B46" i="6"/>
  <c r="C46" i="6" s="1"/>
  <c r="B45" i="6"/>
  <c r="N27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G27" i="6" s="1"/>
  <c r="F24" i="6"/>
  <c r="E24" i="6"/>
  <c r="D24" i="6"/>
  <c r="D25" i="6" s="1"/>
  <c r="Z21" i="6"/>
  <c r="Y21" i="6"/>
  <c r="X21" i="6"/>
  <c r="X27" i="6" s="1"/>
  <c r="W21" i="6"/>
  <c r="V21" i="6"/>
  <c r="U21" i="6"/>
  <c r="T21" i="6"/>
  <c r="T27" i="6" s="1"/>
  <c r="S21" i="6"/>
  <c r="R21" i="6"/>
  <c r="Q21" i="6"/>
  <c r="P21" i="6"/>
  <c r="P27" i="6" s="1"/>
  <c r="O21" i="6"/>
  <c r="N21" i="6"/>
  <c r="M21" i="6"/>
  <c r="L21" i="6"/>
  <c r="K21" i="6"/>
  <c r="J21" i="6"/>
  <c r="J27" i="6" s="1"/>
  <c r="I21" i="6"/>
  <c r="H21" i="6"/>
  <c r="H27" i="6" s="1"/>
  <c r="G21" i="6"/>
  <c r="F21" i="6"/>
  <c r="E21" i="6"/>
  <c r="D21" i="6"/>
  <c r="N6" i="6"/>
  <c r="N4" i="6"/>
  <c r="AA19" i="6" s="1"/>
  <c r="N5" i="6" s="1"/>
  <c r="B59" i="5"/>
  <c r="C59" i="5" s="1"/>
  <c r="C58" i="5"/>
  <c r="B58" i="5"/>
  <c r="C57" i="5"/>
  <c r="B57" i="5"/>
  <c r="C56" i="5"/>
  <c r="B56" i="5"/>
  <c r="B55" i="5"/>
  <c r="C55" i="5" s="1"/>
  <c r="C54" i="5"/>
  <c r="B54" i="5"/>
  <c r="C53" i="5"/>
  <c r="B53" i="5"/>
  <c r="C52" i="5"/>
  <c r="B52" i="5"/>
  <c r="C51" i="5"/>
  <c r="B51" i="5"/>
  <c r="B50" i="5"/>
  <c r="C50" i="5" s="1"/>
  <c r="C47" i="5"/>
  <c r="B47" i="5"/>
  <c r="C46" i="5"/>
  <c r="B46" i="5"/>
  <c r="B45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D25" i="5" s="1"/>
  <c r="Z21" i="5"/>
  <c r="Z27" i="5" s="1"/>
  <c r="Y21" i="5"/>
  <c r="Y27" i="5" s="1"/>
  <c r="X21" i="5"/>
  <c r="X27" i="5" s="1"/>
  <c r="W21" i="5"/>
  <c r="W27" i="5" s="1"/>
  <c r="V21" i="5"/>
  <c r="V27" i="5" s="1"/>
  <c r="U21" i="5"/>
  <c r="U27" i="5" s="1"/>
  <c r="T21" i="5"/>
  <c r="T27" i="5" s="1"/>
  <c r="S21" i="5"/>
  <c r="S27" i="5" s="1"/>
  <c r="R21" i="5"/>
  <c r="R27" i="5" s="1"/>
  <c r="Q21" i="5"/>
  <c r="Q27" i="5" s="1"/>
  <c r="P21" i="5"/>
  <c r="P27" i="5" s="1"/>
  <c r="O21" i="5"/>
  <c r="O27" i="5" s="1"/>
  <c r="N21" i="5"/>
  <c r="N27" i="5" s="1"/>
  <c r="M21" i="5"/>
  <c r="M27" i="5" s="1"/>
  <c r="L21" i="5"/>
  <c r="L27" i="5" s="1"/>
  <c r="K21" i="5"/>
  <c r="K27" i="5" s="1"/>
  <c r="J21" i="5"/>
  <c r="J27" i="5" s="1"/>
  <c r="I21" i="5"/>
  <c r="I27" i="5" s="1"/>
  <c r="H21" i="5"/>
  <c r="H27" i="5" s="1"/>
  <c r="G21" i="5"/>
  <c r="G27" i="5" s="1"/>
  <c r="F21" i="5"/>
  <c r="F27" i="5" s="1"/>
  <c r="E21" i="5"/>
  <c r="E27" i="5" s="1"/>
  <c r="D21" i="5"/>
  <c r="D22" i="5" s="1"/>
  <c r="D31" i="5" s="1"/>
  <c r="N6" i="5"/>
  <c r="AA19" i="5" s="1"/>
  <c r="N5" i="5" s="1"/>
  <c r="N4" i="5"/>
  <c r="B59" i="4"/>
  <c r="C59" i="4" s="1"/>
  <c r="C58" i="4"/>
  <c r="B58" i="4"/>
  <c r="C57" i="4"/>
  <c r="B57" i="4"/>
  <c r="C56" i="4"/>
  <c r="B56" i="4"/>
  <c r="B55" i="4"/>
  <c r="C55" i="4" s="1"/>
  <c r="B54" i="4"/>
  <c r="C54" i="4" s="1"/>
  <c r="C53" i="4"/>
  <c r="B53" i="4"/>
  <c r="C52" i="4"/>
  <c r="B52" i="4"/>
  <c r="B51" i="4"/>
  <c r="C51" i="4" s="1"/>
  <c r="C50" i="4"/>
  <c r="B50" i="4"/>
  <c r="B47" i="4"/>
  <c r="C47" i="4" s="1"/>
  <c r="C46" i="4"/>
  <c r="B46" i="4"/>
  <c r="B45" i="4"/>
  <c r="D31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D25" i="4" s="1"/>
  <c r="Z21" i="4"/>
  <c r="Z27" i="4" s="1"/>
  <c r="Y21" i="4"/>
  <c r="X21" i="4"/>
  <c r="W21" i="4"/>
  <c r="V21" i="4"/>
  <c r="V27" i="4" s="1"/>
  <c r="U21" i="4"/>
  <c r="T21" i="4"/>
  <c r="S21" i="4"/>
  <c r="R21" i="4"/>
  <c r="R27" i="4" s="1"/>
  <c r="Q21" i="4"/>
  <c r="P21" i="4"/>
  <c r="O21" i="4"/>
  <c r="N21" i="4"/>
  <c r="N27" i="4" s="1"/>
  <c r="M21" i="4"/>
  <c r="L21" i="4"/>
  <c r="K21" i="4"/>
  <c r="J21" i="4"/>
  <c r="J27" i="4" s="1"/>
  <c r="I21" i="4"/>
  <c r="H21" i="4"/>
  <c r="G21" i="4"/>
  <c r="F21" i="4"/>
  <c r="F27" i="4" s="1"/>
  <c r="E21" i="4"/>
  <c r="D21" i="4"/>
  <c r="D22" i="4" s="1"/>
  <c r="N6" i="4"/>
  <c r="N4" i="4"/>
  <c r="B54" i="3"/>
  <c r="C54" i="3" s="1"/>
  <c r="B53" i="3"/>
  <c r="C53" i="3" s="1"/>
  <c r="B52" i="3"/>
  <c r="C52" i="3" s="1"/>
  <c r="C51" i="3"/>
  <c r="B51" i="3"/>
  <c r="B50" i="3"/>
  <c r="C50" i="3" s="1"/>
  <c r="B49" i="3"/>
  <c r="C49" i="3" s="1"/>
  <c r="B48" i="3"/>
  <c r="C48" i="3" s="1"/>
  <c r="C47" i="3"/>
  <c r="B47" i="3"/>
  <c r="B46" i="3"/>
  <c r="C46" i="3" s="1"/>
  <c r="B45" i="3"/>
  <c r="C45" i="3" s="1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D25" i="3" s="1"/>
  <c r="Z21" i="3"/>
  <c r="Y21" i="3"/>
  <c r="X21" i="3"/>
  <c r="W21" i="3"/>
  <c r="W27" i="3" s="1"/>
  <c r="V21" i="3"/>
  <c r="U21" i="3"/>
  <c r="T21" i="3"/>
  <c r="S21" i="3"/>
  <c r="R21" i="3"/>
  <c r="Q21" i="3"/>
  <c r="P21" i="3"/>
  <c r="O21" i="3"/>
  <c r="O27" i="3" s="1"/>
  <c r="N21" i="3"/>
  <c r="M21" i="3"/>
  <c r="L21" i="3"/>
  <c r="K21" i="3"/>
  <c r="J21" i="3"/>
  <c r="I21" i="3"/>
  <c r="H21" i="3"/>
  <c r="G21" i="3"/>
  <c r="G27" i="3" s="1"/>
  <c r="F21" i="3"/>
  <c r="E21" i="3"/>
  <c r="D21" i="3"/>
  <c r="D22" i="3" s="1"/>
  <c r="D31" i="3" s="1"/>
  <c r="N6" i="3"/>
  <c r="N4" i="3"/>
  <c r="AA19" i="3" s="1"/>
  <c r="N5" i="3" s="1"/>
  <c r="C54" i="2"/>
  <c r="B54" i="2"/>
  <c r="C53" i="2"/>
  <c r="B53" i="2"/>
  <c r="B52" i="2"/>
  <c r="C52" i="2" s="1"/>
  <c r="C51" i="2"/>
  <c r="B51" i="2"/>
  <c r="C50" i="2"/>
  <c r="B50" i="2"/>
  <c r="C49" i="2"/>
  <c r="B49" i="2"/>
  <c r="B48" i="2"/>
  <c r="C48" i="2" s="1"/>
  <c r="C47" i="2"/>
  <c r="B47" i="2"/>
  <c r="B46" i="2"/>
  <c r="C46" i="2" s="1"/>
  <c r="B45" i="2"/>
  <c r="C45" i="2" s="1"/>
  <c r="O27" i="2"/>
  <c r="Z24" i="2"/>
  <c r="Y24" i="2"/>
  <c r="X24" i="2"/>
  <c r="W24" i="2"/>
  <c r="V24" i="2"/>
  <c r="U24" i="2"/>
  <c r="T24" i="2"/>
  <c r="T27" i="2" s="1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D25" i="2" s="1"/>
  <c r="E25" i="2" s="1"/>
  <c r="F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Z21" i="2"/>
  <c r="Y21" i="2"/>
  <c r="X21" i="2"/>
  <c r="W21" i="2"/>
  <c r="W27" i="2" s="1"/>
  <c r="V21" i="2"/>
  <c r="U21" i="2"/>
  <c r="T21" i="2"/>
  <c r="S21" i="2"/>
  <c r="S27" i="2" s="1"/>
  <c r="R21" i="2"/>
  <c r="Q21" i="2"/>
  <c r="P21" i="2"/>
  <c r="O21" i="2"/>
  <c r="N21" i="2"/>
  <c r="M21" i="2"/>
  <c r="L21" i="2"/>
  <c r="K21" i="2"/>
  <c r="J21" i="2"/>
  <c r="I21" i="2"/>
  <c r="H21" i="2"/>
  <c r="G21" i="2"/>
  <c r="G27" i="2" s="1"/>
  <c r="F21" i="2"/>
  <c r="E21" i="2"/>
  <c r="D21" i="2"/>
  <c r="D22" i="2" s="1"/>
  <c r="N6" i="2"/>
  <c r="N4" i="2"/>
  <c r="B54" i="1"/>
  <c r="C54" i="1" s="1"/>
  <c r="C53" i="1"/>
  <c r="B53" i="1"/>
  <c r="B52" i="1"/>
  <c r="C52" i="1" s="1"/>
  <c r="C51" i="1"/>
  <c r="B51" i="1"/>
  <c r="B50" i="1"/>
  <c r="C50" i="1" s="1"/>
  <c r="C49" i="1"/>
  <c r="B49" i="1"/>
  <c r="B48" i="1"/>
  <c r="C48" i="1" s="1"/>
  <c r="B47" i="1"/>
  <c r="C47" i="1" s="1"/>
  <c r="B46" i="1"/>
  <c r="C46" i="1" s="1"/>
  <c r="B45" i="1"/>
  <c r="C45" i="1" s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D25" i="1" s="1"/>
  <c r="Z21" i="1"/>
  <c r="Y21" i="1"/>
  <c r="X21" i="1"/>
  <c r="W21" i="1"/>
  <c r="V21" i="1"/>
  <c r="V27" i="1" s="1"/>
  <c r="U21" i="1"/>
  <c r="U27" i="1" s="1"/>
  <c r="T21" i="1"/>
  <c r="S21" i="1"/>
  <c r="S27" i="1" s="1"/>
  <c r="R21" i="1"/>
  <c r="Q21" i="1"/>
  <c r="P21" i="1"/>
  <c r="O21" i="1"/>
  <c r="N21" i="1"/>
  <c r="N27" i="1" s="1"/>
  <c r="M21" i="1"/>
  <c r="M27" i="1" s="1"/>
  <c r="L21" i="1"/>
  <c r="L27" i="1" s="1"/>
  <c r="K21" i="1"/>
  <c r="K27" i="1" s="1"/>
  <c r="J21" i="1"/>
  <c r="I21" i="1"/>
  <c r="I27" i="1" s="1"/>
  <c r="H21" i="1"/>
  <c r="G21" i="1"/>
  <c r="F21" i="1"/>
  <c r="F27" i="1" s="1"/>
  <c r="E21" i="1"/>
  <c r="E27" i="1" s="1"/>
  <c r="D21" i="1"/>
  <c r="D22" i="1" s="1"/>
  <c r="D31" i="1" s="1"/>
  <c r="N4" i="1"/>
  <c r="AA19" i="1" s="1"/>
  <c r="N5" i="1" s="1"/>
  <c r="G27" i="1" l="1"/>
  <c r="H27" i="1"/>
  <c r="X27" i="1"/>
  <c r="J27" i="1"/>
  <c r="R27" i="1"/>
  <c r="Z27" i="1"/>
  <c r="W27" i="1"/>
  <c r="Q27" i="1"/>
  <c r="Y27" i="1"/>
  <c r="T27" i="1"/>
  <c r="O27" i="1"/>
  <c r="P27" i="1"/>
  <c r="E22" i="1"/>
  <c r="F22" i="1" s="1"/>
  <c r="F31" i="1" s="1"/>
  <c r="E25" i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H27" i="2"/>
  <c r="P27" i="2"/>
  <c r="X27" i="2"/>
  <c r="J27" i="2"/>
  <c r="R27" i="2"/>
  <c r="Z27" i="2"/>
  <c r="M27" i="2"/>
  <c r="E27" i="2"/>
  <c r="U27" i="2"/>
  <c r="I27" i="2"/>
  <c r="Q27" i="2"/>
  <c r="Y27" i="2"/>
  <c r="K27" i="2"/>
  <c r="D27" i="2"/>
  <c r="D37" i="2" s="1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L27" i="2"/>
  <c r="F27" i="2"/>
  <c r="N27" i="2"/>
  <c r="V27" i="2"/>
  <c r="P27" i="3"/>
  <c r="K27" i="3"/>
  <c r="S27" i="3"/>
  <c r="T27" i="3"/>
  <c r="I27" i="3"/>
  <c r="Q27" i="3"/>
  <c r="Y27" i="3"/>
  <c r="L27" i="3"/>
  <c r="E27" i="3"/>
  <c r="M27" i="3"/>
  <c r="U27" i="3"/>
  <c r="H27" i="3"/>
  <c r="X27" i="3"/>
  <c r="E25" i="3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D27" i="3"/>
  <c r="D28" i="3" s="1"/>
  <c r="E22" i="3"/>
  <c r="F22" i="3" s="1"/>
  <c r="F31" i="3" s="1"/>
  <c r="K27" i="4"/>
  <c r="S27" i="4"/>
  <c r="L27" i="4"/>
  <c r="T27" i="4"/>
  <c r="E27" i="4"/>
  <c r="M27" i="4"/>
  <c r="U27" i="4"/>
  <c r="G27" i="4"/>
  <c r="O27" i="4"/>
  <c r="W27" i="4"/>
  <c r="I27" i="4"/>
  <c r="Q27" i="4"/>
  <c r="Y27" i="4"/>
  <c r="H27" i="4"/>
  <c r="P27" i="4"/>
  <c r="X27" i="4"/>
  <c r="E22" i="4"/>
  <c r="E31" i="4" s="1"/>
  <c r="E25" i="4"/>
  <c r="F25" i="4" s="1"/>
  <c r="G25" i="4" s="1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E22" i="5"/>
  <c r="E25" i="5"/>
  <c r="F25" i="5"/>
  <c r="G25" i="5" s="1"/>
  <c r="H25" i="5" s="1"/>
  <c r="I25" i="5" s="1"/>
  <c r="J25" i="5" s="1"/>
  <c r="K25" i="5" s="1"/>
  <c r="L25" i="5" s="1"/>
  <c r="M25" i="5" s="1"/>
  <c r="N25" i="5" s="1"/>
  <c r="O25" i="5" s="1"/>
  <c r="P25" i="5" s="1"/>
  <c r="Q25" i="5" s="1"/>
  <c r="R25" i="5" s="1"/>
  <c r="S25" i="5" s="1"/>
  <c r="T25" i="5" s="1"/>
  <c r="U25" i="5" s="1"/>
  <c r="V25" i="5" s="1"/>
  <c r="W25" i="5" s="1"/>
  <c r="X25" i="5" s="1"/>
  <c r="Y25" i="5" s="1"/>
  <c r="Z25" i="5" s="1"/>
  <c r="R27" i="6"/>
  <c r="Z27" i="6"/>
  <c r="K27" i="6"/>
  <c r="S27" i="6"/>
  <c r="E25" i="6"/>
  <c r="F25" i="6" s="1"/>
  <c r="G25" i="6" s="1"/>
  <c r="H25" i="6" s="1"/>
  <c r="I25" i="6" s="1"/>
  <c r="J25" i="6" s="1"/>
  <c r="K25" i="6" s="1"/>
  <c r="L25" i="6" s="1"/>
  <c r="M25" i="6" s="1"/>
  <c r="N25" i="6" s="1"/>
  <c r="O25" i="6" s="1"/>
  <c r="P25" i="6" s="1"/>
  <c r="Q25" i="6" s="1"/>
  <c r="R25" i="6" s="1"/>
  <c r="S25" i="6" s="1"/>
  <c r="T25" i="6" s="1"/>
  <c r="U25" i="6" s="1"/>
  <c r="V25" i="6" s="1"/>
  <c r="W25" i="6" s="1"/>
  <c r="X25" i="6" s="1"/>
  <c r="Y25" i="6" s="1"/>
  <c r="Z25" i="6" s="1"/>
  <c r="L27" i="6"/>
  <c r="M27" i="6"/>
  <c r="U27" i="6"/>
  <c r="F27" i="6"/>
  <c r="V27" i="6"/>
  <c r="O27" i="6"/>
  <c r="W27" i="6"/>
  <c r="D27" i="6"/>
  <c r="D28" i="6" s="1"/>
  <c r="E28" i="6" s="1"/>
  <c r="F28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U28" i="6" s="1"/>
  <c r="V28" i="6" s="1"/>
  <c r="W28" i="6" s="1"/>
  <c r="X28" i="6" s="1"/>
  <c r="Y28" i="6" s="1"/>
  <c r="Z28" i="6" s="1"/>
  <c r="I27" i="6"/>
  <c r="Q27" i="6"/>
  <c r="Y27" i="6"/>
  <c r="E27" i="6"/>
  <c r="D42" i="1"/>
  <c r="D41" i="1"/>
  <c r="D56" i="1"/>
  <c r="D56" i="3"/>
  <c r="D41" i="3"/>
  <c r="D42" i="3"/>
  <c r="D56" i="2"/>
  <c r="E22" i="2"/>
  <c r="D31" i="2"/>
  <c r="D27" i="1"/>
  <c r="AA19" i="2"/>
  <c r="N5" i="2" s="1"/>
  <c r="F27" i="3"/>
  <c r="J27" i="3"/>
  <c r="N27" i="3"/>
  <c r="R27" i="3"/>
  <c r="V27" i="3"/>
  <c r="Z27" i="3"/>
  <c r="G22" i="3"/>
  <c r="F22" i="5"/>
  <c r="E31" i="5"/>
  <c r="D27" i="4"/>
  <c r="D58" i="6" a="1"/>
  <c r="D58" i="6" s="1"/>
  <c r="D57" i="6" a="1"/>
  <c r="D57" i="6" s="1"/>
  <c r="D56" i="6" a="1"/>
  <c r="D56" i="6" s="1"/>
  <c r="D59" i="6" a="1"/>
  <c r="D59" i="6" s="1"/>
  <c r="D55" i="6" a="1"/>
  <c r="D55" i="6" s="1"/>
  <c r="D54" i="6" a="1"/>
  <c r="D54" i="6" s="1"/>
  <c r="D53" i="6" a="1"/>
  <c r="D53" i="6" s="1"/>
  <c r="D52" i="6"/>
  <c r="AA19" i="4"/>
  <c r="N5" i="4" s="1"/>
  <c r="D27" i="5"/>
  <c r="C45" i="5"/>
  <c r="D37" i="6"/>
  <c r="E37" i="6" s="1"/>
  <c r="F37" i="6" s="1"/>
  <c r="G37" i="6" s="1"/>
  <c r="H37" i="6" s="1"/>
  <c r="I37" i="6" s="1"/>
  <c r="J37" i="6" s="1"/>
  <c r="K37" i="6" s="1"/>
  <c r="L37" i="6" s="1"/>
  <c r="M37" i="6" s="1"/>
  <c r="N37" i="6" s="1"/>
  <c r="O37" i="6" s="1"/>
  <c r="P37" i="6" s="1"/>
  <c r="Q37" i="6" s="1"/>
  <c r="R37" i="6" s="1"/>
  <c r="S37" i="6" s="1"/>
  <c r="T37" i="6" s="1"/>
  <c r="U37" i="6" s="1"/>
  <c r="V37" i="6" s="1"/>
  <c r="W37" i="6" s="1"/>
  <c r="X37" i="6" s="1"/>
  <c r="Y37" i="6" s="1"/>
  <c r="Z37" i="6" s="1"/>
  <c r="AA37" i="6" s="1"/>
  <c r="C45" i="6"/>
  <c r="D22" i="6"/>
  <c r="G22" i="1" l="1"/>
  <c r="H22" i="1" s="1"/>
  <c r="E31" i="1"/>
  <c r="D28" i="2"/>
  <c r="E28" i="2" s="1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T28" i="2" s="1"/>
  <c r="U28" i="2" s="1"/>
  <c r="V28" i="2" s="1"/>
  <c r="W28" i="2" s="1"/>
  <c r="X28" i="2" s="1"/>
  <c r="Y28" i="2" s="1"/>
  <c r="Z28" i="2" s="1"/>
  <c r="E31" i="3"/>
  <c r="E28" i="3"/>
  <c r="F28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V28" i="3" s="1"/>
  <c r="W28" i="3" s="1"/>
  <c r="X28" i="3" s="1"/>
  <c r="Y28" i="3" s="1"/>
  <c r="Z28" i="3" s="1"/>
  <c r="D37" i="3"/>
  <c r="E37" i="3" s="1"/>
  <c r="F37" i="3" s="1"/>
  <c r="G37" i="3" s="1"/>
  <c r="H37" i="3" s="1"/>
  <c r="I37" i="3" s="1"/>
  <c r="J37" i="3" s="1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V37" i="3" s="1"/>
  <c r="W37" i="3" s="1"/>
  <c r="X37" i="3" s="1"/>
  <c r="Y37" i="3" s="1"/>
  <c r="Z37" i="3" s="1"/>
  <c r="AA37" i="3" s="1"/>
  <c r="D57" i="3" s="1"/>
  <c r="C45" i="4"/>
  <c r="F22" i="4"/>
  <c r="F31" i="4" s="1"/>
  <c r="D57" i="2"/>
  <c r="D31" i="6"/>
  <c r="E22" i="6"/>
  <c r="E56" i="2"/>
  <c r="E41" i="2"/>
  <c r="D37" i="5"/>
  <c r="E37" i="5" s="1"/>
  <c r="F37" i="5" s="1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R37" i="5" s="1"/>
  <c r="S37" i="5" s="1"/>
  <c r="T37" i="5" s="1"/>
  <c r="U37" i="5" s="1"/>
  <c r="V37" i="5" s="1"/>
  <c r="W37" i="5" s="1"/>
  <c r="X37" i="5" s="1"/>
  <c r="Y37" i="5" s="1"/>
  <c r="Z37" i="5" s="1"/>
  <c r="AA37" i="5" s="1"/>
  <c r="D28" i="5"/>
  <c r="E28" i="5" s="1"/>
  <c r="F28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S28" i="5" s="1"/>
  <c r="T28" i="5" s="1"/>
  <c r="U28" i="5" s="1"/>
  <c r="V28" i="5" s="1"/>
  <c r="W28" i="5" s="1"/>
  <c r="X28" i="5" s="1"/>
  <c r="Y28" i="5" s="1"/>
  <c r="Z28" i="5" s="1"/>
  <c r="D47" i="5"/>
  <c r="E56" i="6"/>
  <c r="E59" i="6"/>
  <c r="E55" i="6"/>
  <c r="E58" i="6"/>
  <c r="E53" i="6"/>
  <c r="E57" i="6"/>
  <c r="E52" i="6"/>
  <c r="E51" i="6"/>
  <c r="E54" i="6"/>
  <c r="F31" i="5"/>
  <c r="G22" i="5"/>
  <c r="D41" i="2"/>
  <c r="D37" i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D57" i="1" s="1"/>
  <c r="D28" i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D42" i="2"/>
  <c r="E42" i="2" s="1"/>
  <c r="E42" i="3"/>
  <c r="E56" i="3"/>
  <c r="E41" i="3"/>
  <c r="D28" i="4"/>
  <c r="E28" i="4" s="1"/>
  <c r="F28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Y28" i="4" s="1"/>
  <c r="Z28" i="4" s="1"/>
  <c r="D37" i="4"/>
  <c r="E37" i="4" s="1"/>
  <c r="F37" i="4" s="1"/>
  <c r="G37" i="4" s="1"/>
  <c r="H37" i="4" s="1"/>
  <c r="I37" i="4" s="1"/>
  <c r="J37" i="4" s="1"/>
  <c r="K37" i="4" s="1"/>
  <c r="L37" i="4" s="1"/>
  <c r="M37" i="4" s="1"/>
  <c r="N37" i="4" s="1"/>
  <c r="O37" i="4" s="1"/>
  <c r="P37" i="4" s="1"/>
  <c r="Q37" i="4" s="1"/>
  <c r="R37" i="4" s="1"/>
  <c r="S37" i="4" s="1"/>
  <c r="T37" i="4" s="1"/>
  <c r="U37" i="4" s="1"/>
  <c r="V37" i="4" s="1"/>
  <c r="W37" i="4" s="1"/>
  <c r="X37" i="4" s="1"/>
  <c r="Y37" i="4" s="1"/>
  <c r="Z37" i="4" s="1"/>
  <c r="AA37" i="4" s="1"/>
  <c r="H22" i="3"/>
  <c r="G31" i="3"/>
  <c r="D47" i="4"/>
  <c r="F22" i="2"/>
  <c r="E31" i="2"/>
  <c r="E56" i="1"/>
  <c r="E41" i="1"/>
  <c r="E42" i="1"/>
  <c r="G31" i="1" l="1"/>
  <c r="G22" i="4"/>
  <c r="H22" i="4" s="1"/>
  <c r="E57" i="2"/>
  <c r="E57" i="1"/>
  <c r="E57" i="3"/>
  <c r="G31" i="4"/>
  <c r="F56" i="1"/>
  <c r="F42" i="1"/>
  <c r="F41" i="1"/>
  <c r="E47" i="4"/>
  <c r="F47" i="4" s="1"/>
  <c r="E46" i="4"/>
  <c r="F46" i="4" s="1"/>
  <c r="G46" i="4" s="1"/>
  <c r="F56" i="3"/>
  <c r="F42" i="3"/>
  <c r="F41" i="3"/>
  <c r="G31" i="5"/>
  <c r="H22" i="5"/>
  <c r="G61" i="5"/>
  <c r="G62" i="5" s="1"/>
  <c r="G42" i="5"/>
  <c r="G41" i="5"/>
  <c r="F22" i="6"/>
  <c r="E31" i="6"/>
  <c r="F31" i="2"/>
  <c r="G22" i="2"/>
  <c r="F45" i="4"/>
  <c r="G45" i="4" s="1"/>
  <c r="H31" i="3"/>
  <c r="I22" i="3"/>
  <c r="F59" i="6"/>
  <c r="F55" i="6"/>
  <c r="F58" i="6"/>
  <c r="F57" i="6"/>
  <c r="F52" i="6"/>
  <c r="F51" i="6"/>
  <c r="F53" i="6"/>
  <c r="F50" i="6"/>
  <c r="F54" i="6"/>
  <c r="F56" i="6"/>
  <c r="F57" i="5" a="1"/>
  <c r="F57" i="5" s="1"/>
  <c r="G57" i="5" s="1"/>
  <c r="F53" i="5" a="1"/>
  <c r="F53" i="5" s="1"/>
  <c r="G53" i="5" s="1"/>
  <c r="F59" i="5" a="1"/>
  <c r="F59" i="5" s="1"/>
  <c r="F58" i="5" a="1"/>
  <c r="F58" i="5" s="1"/>
  <c r="G58" i="5" s="1"/>
  <c r="F52" i="5" a="1"/>
  <c r="F52" i="5" s="1"/>
  <c r="F54" i="5" a="1"/>
  <c r="F54" i="5" s="1"/>
  <c r="F51" i="5" a="1"/>
  <c r="F51" i="5" s="1"/>
  <c r="G51" i="5" s="1"/>
  <c r="F55" i="5" a="1"/>
  <c r="F55" i="5" s="1"/>
  <c r="F50" i="5" a="1"/>
  <c r="F50" i="5" s="1"/>
  <c r="F45" i="5"/>
  <c r="F56" i="5" a="1"/>
  <c r="F56" i="5" s="1"/>
  <c r="G56" i="5" s="1"/>
  <c r="H31" i="1"/>
  <c r="I22" i="1"/>
  <c r="F56" i="2"/>
  <c r="F41" i="2"/>
  <c r="F42" i="2"/>
  <c r="G61" i="4"/>
  <c r="G62" i="4" s="1"/>
  <c r="G41" i="4"/>
  <c r="G42" i="4"/>
  <c r="E47" i="5"/>
  <c r="F47" i="5" s="1"/>
  <c r="G47" i="5" s="1"/>
  <c r="E46" i="5"/>
  <c r="F46" i="5" s="1"/>
  <c r="G46" i="5" s="1"/>
  <c r="F57" i="2" l="1"/>
  <c r="F57" i="3"/>
  <c r="F57" i="1"/>
  <c r="G59" i="6"/>
  <c r="G58" i="6"/>
  <c r="G57" i="6"/>
  <c r="G56" i="6"/>
  <c r="G55" i="6"/>
  <c r="G47" i="6"/>
  <c r="G54" i="6"/>
  <c r="G52" i="6"/>
  <c r="G53" i="6"/>
  <c r="G50" i="6"/>
  <c r="G51" i="6"/>
  <c r="G45" i="5"/>
  <c r="H45" i="5" s="1"/>
  <c r="I45" i="5" s="1"/>
  <c r="H31" i="5"/>
  <c r="I22" i="5"/>
  <c r="H61" i="4"/>
  <c r="H62" i="4" s="1"/>
  <c r="H41" i="4"/>
  <c r="H45" i="4"/>
  <c r="I45" i="4" s="1"/>
  <c r="H46" i="4"/>
  <c r="H42" i="4"/>
  <c r="G56" i="2"/>
  <c r="G41" i="2"/>
  <c r="G42" i="2"/>
  <c r="G31" i="2"/>
  <c r="H22" i="2"/>
  <c r="H61" i="5"/>
  <c r="H62" i="5"/>
  <c r="H58" i="5"/>
  <c r="H57" i="5"/>
  <c r="H56" i="5"/>
  <c r="H53" i="5"/>
  <c r="H42" i="5"/>
  <c r="H51" i="5"/>
  <c r="H47" i="5"/>
  <c r="H46" i="5"/>
  <c r="H41" i="5"/>
  <c r="H31" i="4"/>
  <c r="I22" i="4"/>
  <c r="G47" i="4"/>
  <c r="H47" i="4" s="1"/>
  <c r="I31" i="1"/>
  <c r="J22" i="1"/>
  <c r="J22" i="3"/>
  <c r="I31" i="3"/>
  <c r="F31" i="6"/>
  <c r="G22" i="6"/>
  <c r="G52" i="5"/>
  <c r="H52" i="5" s="1"/>
  <c r="G59" i="5"/>
  <c r="H59" i="5" s="1"/>
  <c r="G54" i="5"/>
  <c r="H54" i="5" s="1"/>
  <c r="G55" i="5"/>
  <c r="H55" i="5" s="1"/>
  <c r="G56" i="3"/>
  <c r="G42" i="3"/>
  <c r="G41" i="3"/>
  <c r="G50" i="5"/>
  <c r="G42" i="1"/>
  <c r="G56" i="1"/>
  <c r="G41" i="1"/>
  <c r="G57" i="2" l="1"/>
  <c r="G57" i="3"/>
  <c r="G57" i="1"/>
  <c r="H22" i="6"/>
  <c r="G31" i="6"/>
  <c r="I58" i="5"/>
  <c r="I54" i="5"/>
  <c r="I61" i="5"/>
  <c r="I62" i="5" s="1"/>
  <c r="I59" i="5"/>
  <c r="I55" i="5"/>
  <c r="I47" i="5"/>
  <c r="I41" i="5"/>
  <c r="I53" i="5"/>
  <c r="I46" i="5"/>
  <c r="I57" i="5"/>
  <c r="I42" i="5"/>
  <c r="I56" i="5"/>
  <c r="I52" i="5"/>
  <c r="I51" i="5"/>
  <c r="H50" i="5"/>
  <c r="I50" i="5" s="1"/>
  <c r="H56" i="2"/>
  <c r="H42" i="2"/>
  <c r="H41" i="2"/>
  <c r="I31" i="4"/>
  <c r="J22" i="4"/>
  <c r="J22" i="5"/>
  <c r="I31" i="5"/>
  <c r="K22" i="3"/>
  <c r="J31" i="3"/>
  <c r="H42" i="1"/>
  <c r="H41" i="1"/>
  <c r="H56" i="1"/>
  <c r="H56" i="3"/>
  <c r="H41" i="3"/>
  <c r="H42" i="3"/>
  <c r="J31" i="1"/>
  <c r="K22" i="1"/>
  <c r="I22" i="2"/>
  <c r="H31" i="2"/>
  <c r="I62" i="4"/>
  <c r="I42" i="4"/>
  <c r="I61" i="4"/>
  <c r="I47" i="4"/>
  <c r="I41" i="4"/>
  <c r="I46" i="4"/>
  <c r="H58" i="6"/>
  <c r="H57" i="6"/>
  <c r="H56" i="6"/>
  <c r="H59" i="6"/>
  <c r="H55" i="6"/>
  <c r="H54" i="6"/>
  <c r="H53" i="6"/>
  <c r="H50" i="6"/>
  <c r="H46" i="6"/>
  <c r="H51" i="6"/>
  <c r="H52" i="6"/>
  <c r="H47" i="6"/>
  <c r="H57" i="2" l="1"/>
  <c r="H57" i="3"/>
  <c r="H57" i="1"/>
  <c r="J22" i="2"/>
  <c r="I31" i="2"/>
  <c r="J42" i="4"/>
  <c r="J46" i="4"/>
  <c r="J47" i="4"/>
  <c r="J45" i="4"/>
  <c r="J41" i="4"/>
  <c r="J61" i="4"/>
  <c r="J62" i="4" s="1"/>
  <c r="L22" i="1"/>
  <c r="K31" i="1"/>
  <c r="I56" i="1"/>
  <c r="I42" i="1"/>
  <c r="I41" i="1"/>
  <c r="L22" i="3"/>
  <c r="K31" i="3"/>
  <c r="J31" i="5"/>
  <c r="K22" i="5"/>
  <c r="K22" i="4"/>
  <c r="J31" i="4"/>
  <c r="I56" i="6"/>
  <c r="I59" i="6"/>
  <c r="I55" i="6"/>
  <c r="I58" i="6"/>
  <c r="I57" i="6"/>
  <c r="I53" i="6"/>
  <c r="I50" i="6"/>
  <c r="I52" i="6"/>
  <c r="I51" i="6"/>
  <c r="I54" i="6"/>
  <c r="I47" i="6"/>
  <c r="I46" i="6"/>
  <c r="I45" i="6"/>
  <c r="J57" i="5"/>
  <c r="J53" i="5"/>
  <c r="J61" i="5"/>
  <c r="J62" i="5" s="1"/>
  <c r="J59" i="5"/>
  <c r="J58" i="5"/>
  <c r="J52" i="5"/>
  <c r="J55" i="5"/>
  <c r="J45" i="5"/>
  <c r="J42" i="5"/>
  <c r="J56" i="5"/>
  <c r="J41" i="5"/>
  <c r="J54" i="5"/>
  <c r="J51" i="5"/>
  <c r="J50" i="5"/>
  <c r="J47" i="5"/>
  <c r="J46" i="5"/>
  <c r="I42" i="3"/>
  <c r="I56" i="3"/>
  <c r="I41" i="3"/>
  <c r="I42" i="2"/>
  <c r="I56" i="2"/>
  <c r="I41" i="2"/>
  <c r="H31" i="6"/>
  <c r="I22" i="6"/>
  <c r="I57" i="2" l="1"/>
  <c r="I57" i="3"/>
  <c r="I57" i="1"/>
  <c r="J56" i="1"/>
  <c r="J42" i="1"/>
  <c r="J41" i="1"/>
  <c r="J31" i="2"/>
  <c r="K22" i="2"/>
  <c r="L22" i="4"/>
  <c r="K31" i="4"/>
  <c r="L31" i="3"/>
  <c r="M22" i="3"/>
  <c r="L31" i="1"/>
  <c r="M22" i="1"/>
  <c r="J22" i="6"/>
  <c r="I31" i="6"/>
  <c r="J61" i="6"/>
  <c r="J62" i="6" s="1"/>
  <c r="J59" i="6"/>
  <c r="J55" i="6"/>
  <c r="J58" i="6"/>
  <c r="J57" i="6"/>
  <c r="J52" i="6"/>
  <c r="J51" i="6"/>
  <c r="J56" i="6"/>
  <c r="J47" i="6"/>
  <c r="J42" i="6"/>
  <c r="J41" i="6"/>
  <c r="J53" i="6"/>
  <c r="J54" i="6"/>
  <c r="J50" i="6"/>
  <c r="J46" i="6"/>
  <c r="J45" i="6"/>
  <c r="J56" i="2"/>
  <c r="J42" i="2"/>
  <c r="J41" i="2"/>
  <c r="J56" i="3"/>
  <c r="J42" i="3"/>
  <c r="J41" i="3"/>
  <c r="K61" i="5"/>
  <c r="K62" i="5" s="1"/>
  <c r="K56" i="5"/>
  <c r="K59" i="5"/>
  <c r="K58" i="5"/>
  <c r="K57" i="5"/>
  <c r="K51" i="5"/>
  <c r="K46" i="5"/>
  <c r="K41" i="5"/>
  <c r="K54" i="5"/>
  <c r="K52" i="5"/>
  <c r="K50" i="5"/>
  <c r="K47" i="5"/>
  <c r="K45" i="5"/>
  <c r="K42" i="5"/>
  <c r="K55" i="5"/>
  <c r="K53" i="5"/>
  <c r="K31" i="5"/>
  <c r="L22" i="5"/>
  <c r="K58" i="4" a="1"/>
  <c r="K58" i="4" s="1"/>
  <c r="K54" i="4" a="1"/>
  <c r="K54" i="4" s="1"/>
  <c r="K50" i="4" a="1"/>
  <c r="K50" i="4" s="1"/>
  <c r="K46" i="4"/>
  <c r="K61" i="4"/>
  <c r="K62" i="4" s="1"/>
  <c r="K57" i="4" a="1"/>
  <c r="K57" i="4" s="1"/>
  <c r="K53" i="4" a="1"/>
  <c r="K53" i="4" s="1"/>
  <c r="K47" i="4"/>
  <c r="K41" i="4"/>
  <c r="K51" i="4" a="1"/>
  <c r="K51" i="4" s="1"/>
  <c r="K45" i="4"/>
  <c r="K59" i="4" a="1"/>
  <c r="K59" i="4" s="1"/>
  <c r="K56" i="4" a="1"/>
  <c r="K56" i="4" s="1"/>
  <c r="K42" i="4"/>
  <c r="K55" i="4" a="1"/>
  <c r="K55" i="4" s="1"/>
  <c r="K52" i="4" a="1"/>
  <c r="K52" i="4" s="1"/>
  <c r="J57" i="1" l="1"/>
  <c r="J57" i="2"/>
  <c r="J57" i="3"/>
  <c r="K56" i="3"/>
  <c r="K42" i="3"/>
  <c r="K41" i="3"/>
  <c r="J31" i="6"/>
  <c r="K22" i="6"/>
  <c r="L61" i="4"/>
  <c r="L62" i="4" s="1"/>
  <c r="L57" i="4"/>
  <c r="L53" i="4"/>
  <c r="L47" i="4"/>
  <c r="L41" i="4"/>
  <c r="L56" i="4"/>
  <c r="L52" i="4"/>
  <c r="L45" i="4"/>
  <c r="L58" i="4"/>
  <c r="L59" i="4"/>
  <c r="L54" i="4"/>
  <c r="L42" i="4"/>
  <c r="L55" i="4"/>
  <c r="L50" i="4"/>
  <c r="L46" i="4"/>
  <c r="L51" i="4"/>
  <c r="N22" i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M31" i="1"/>
  <c r="K31" i="2"/>
  <c r="L22" i="2"/>
  <c r="K41" i="1"/>
  <c r="K42" i="1"/>
  <c r="K56" i="1"/>
  <c r="L31" i="5"/>
  <c r="M22" i="5"/>
  <c r="L59" i="5"/>
  <c r="L55" i="5"/>
  <c r="L61" i="5"/>
  <c r="L62" i="5" s="1"/>
  <c r="L50" i="5"/>
  <c r="L45" i="5"/>
  <c r="L42" i="5"/>
  <c r="L57" i="5"/>
  <c r="L56" i="5"/>
  <c r="L54" i="5"/>
  <c r="L52" i="5"/>
  <c r="L51" i="5"/>
  <c r="L47" i="5"/>
  <c r="L58" i="5"/>
  <c r="L53" i="5"/>
  <c r="L46" i="5"/>
  <c r="L41" i="5"/>
  <c r="K56" i="2"/>
  <c r="K41" i="2"/>
  <c r="K42" i="2"/>
  <c r="K61" i="6"/>
  <c r="K62" i="6" s="1"/>
  <c r="K59" i="6"/>
  <c r="K58" i="6"/>
  <c r="K57" i="6"/>
  <c r="K56" i="6"/>
  <c r="K47" i="6"/>
  <c r="K54" i="6"/>
  <c r="K46" i="6"/>
  <c r="K45" i="6"/>
  <c r="K55" i="6"/>
  <c r="K52" i="6"/>
  <c r="K51" i="6"/>
  <c r="K50" i="6"/>
  <c r="K42" i="6"/>
  <c r="K41" i="6"/>
  <c r="K53" i="6"/>
  <c r="L31" i="4"/>
  <c r="M22" i="4"/>
  <c r="N22" i="3"/>
  <c r="O22" i="3" s="1"/>
  <c r="P22" i="3" s="1"/>
  <c r="Q22" i="3" s="1"/>
  <c r="R22" i="3" s="1"/>
  <c r="S22" i="3" s="1"/>
  <c r="T22" i="3" s="1"/>
  <c r="U22" i="3" s="1"/>
  <c r="V22" i="3" s="1"/>
  <c r="W22" i="3" s="1"/>
  <c r="X22" i="3" s="1"/>
  <c r="Y22" i="3" s="1"/>
  <c r="Z22" i="3" s="1"/>
  <c r="M31" i="3"/>
  <c r="K57" i="1" l="1"/>
  <c r="K57" i="2"/>
  <c r="K57" i="3"/>
  <c r="L42" i="1"/>
  <c r="L41" i="1"/>
  <c r="L56" i="1"/>
  <c r="L58" i="6"/>
  <c r="L57" i="6"/>
  <c r="L61" i="6"/>
  <c r="L62" i="6" s="1"/>
  <c r="L56" i="6"/>
  <c r="L59" i="6"/>
  <c r="L55" i="6"/>
  <c r="L54" i="6"/>
  <c r="L53" i="6"/>
  <c r="L50" i="6"/>
  <c r="L47" i="6"/>
  <c r="L46" i="6"/>
  <c r="L45" i="6"/>
  <c r="L42" i="6"/>
  <c r="L52" i="6"/>
  <c r="L51" i="6"/>
  <c r="L41" i="6"/>
  <c r="L56" i="2"/>
  <c r="L42" i="2"/>
  <c r="L41" i="2"/>
  <c r="M61" i="5"/>
  <c r="M62" i="5" s="1"/>
  <c r="M58" i="5"/>
  <c r="M54" i="5"/>
  <c r="M57" i="5"/>
  <c r="M56" i="5"/>
  <c r="M53" i="5"/>
  <c r="M47" i="5"/>
  <c r="M41" i="5"/>
  <c r="M52" i="5"/>
  <c r="M51" i="5"/>
  <c r="M50" i="5"/>
  <c r="M46" i="5"/>
  <c r="M59" i="5"/>
  <c r="M55" i="5"/>
  <c r="M45" i="5"/>
  <c r="M42" i="5"/>
  <c r="L31" i="2"/>
  <c r="M22" i="2"/>
  <c r="M56" i="4"/>
  <c r="M52" i="4"/>
  <c r="M45" i="4"/>
  <c r="M59" i="4"/>
  <c r="M55" i="4"/>
  <c r="M51" i="4"/>
  <c r="M42" i="4"/>
  <c r="M54" i="4"/>
  <c r="M47" i="4"/>
  <c r="M41" i="4"/>
  <c r="M50" i="4"/>
  <c r="M46" i="4"/>
  <c r="M61" i="4"/>
  <c r="M62" i="4" s="1"/>
  <c r="M57" i="4"/>
  <c r="M53" i="4"/>
  <c r="M58" i="4"/>
  <c r="L56" i="3"/>
  <c r="L41" i="3"/>
  <c r="L42" i="3"/>
  <c r="M31" i="4"/>
  <c r="N22" i="4"/>
  <c r="O22" i="4" s="1"/>
  <c r="P22" i="4" s="1"/>
  <c r="Q22" i="4" s="1"/>
  <c r="R22" i="4" s="1"/>
  <c r="S22" i="4" s="1"/>
  <c r="T22" i="4" s="1"/>
  <c r="U22" i="4" s="1"/>
  <c r="V22" i="4" s="1"/>
  <c r="W22" i="4" s="1"/>
  <c r="X22" i="4" s="1"/>
  <c r="Y22" i="4" s="1"/>
  <c r="Z22" i="4" s="1"/>
  <c r="N22" i="5"/>
  <c r="O22" i="5" s="1"/>
  <c r="P22" i="5" s="1"/>
  <c r="Q22" i="5" s="1"/>
  <c r="R22" i="5" s="1"/>
  <c r="S22" i="5" s="1"/>
  <c r="T22" i="5" s="1"/>
  <c r="U22" i="5" s="1"/>
  <c r="V22" i="5" s="1"/>
  <c r="W22" i="5" s="1"/>
  <c r="X22" i="5" s="1"/>
  <c r="Y22" i="5" s="1"/>
  <c r="Z22" i="5" s="1"/>
  <c r="M31" i="5"/>
  <c r="L22" i="6"/>
  <c r="K31" i="6"/>
  <c r="L57" i="1" l="1"/>
  <c r="L57" i="2"/>
  <c r="L57" i="3"/>
  <c r="M52" i="3" a="1"/>
  <c r="M52" i="3" s="1"/>
  <c r="M48" i="3" a="1"/>
  <c r="M48" i="3" s="1"/>
  <c r="M42" i="3"/>
  <c r="M56" i="3"/>
  <c r="M54" i="3" a="1"/>
  <c r="M54" i="3" s="1"/>
  <c r="M53" i="3" a="1"/>
  <c r="M53" i="3" s="1"/>
  <c r="M50" i="3" a="1"/>
  <c r="M50" i="3" s="1"/>
  <c r="M49" i="3" a="1"/>
  <c r="M49" i="3" s="1"/>
  <c r="M46" i="3" a="1"/>
  <c r="M46" i="3" s="1"/>
  <c r="M45" i="3" a="1"/>
  <c r="M45" i="3" s="1"/>
  <c r="M41" i="3"/>
  <c r="M47" i="3" a="1"/>
  <c r="M47" i="3" s="1"/>
  <c r="M51" i="3" a="1"/>
  <c r="M51" i="3" s="1"/>
  <c r="N57" i="5"/>
  <c r="N53" i="5"/>
  <c r="N59" i="5"/>
  <c r="N58" i="5"/>
  <c r="N55" i="5"/>
  <c r="N54" i="5"/>
  <c r="N52" i="5"/>
  <c r="N61" i="5"/>
  <c r="N62" i="5" s="1"/>
  <c r="N50" i="5"/>
  <c r="N47" i="5"/>
  <c r="N46" i="5"/>
  <c r="N45" i="5"/>
  <c r="N42" i="5"/>
  <c r="N41" i="5"/>
  <c r="N56" i="5"/>
  <c r="N51" i="5"/>
  <c r="M61" i="6"/>
  <c r="M62" i="6" s="1"/>
  <c r="M56" i="6"/>
  <c r="M59" i="6"/>
  <c r="M55" i="6"/>
  <c r="M58" i="6"/>
  <c r="M53" i="6"/>
  <c r="M50" i="6"/>
  <c r="M52" i="6"/>
  <c r="M51" i="6"/>
  <c r="M57" i="6"/>
  <c r="M54" i="6"/>
  <c r="M46" i="6"/>
  <c r="M45" i="6"/>
  <c r="M41" i="6"/>
  <c r="M47" i="6"/>
  <c r="M42" i="6"/>
  <c r="M56" i="1"/>
  <c r="M41" i="1"/>
  <c r="M42" i="1"/>
  <c r="L31" i="6"/>
  <c r="M22" i="6"/>
  <c r="N59" i="4"/>
  <c r="N55" i="4"/>
  <c r="N51" i="4"/>
  <c r="N42" i="4"/>
  <c r="N58" i="4"/>
  <c r="N54" i="4"/>
  <c r="N50" i="4"/>
  <c r="N46" i="4"/>
  <c r="N61" i="4"/>
  <c r="N62" i="4" s="1"/>
  <c r="N57" i="4"/>
  <c r="N56" i="4"/>
  <c r="N53" i="4"/>
  <c r="N52" i="4"/>
  <c r="N47" i="4"/>
  <c r="N41" i="4"/>
  <c r="N45" i="4"/>
  <c r="N22" i="2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M31" i="2"/>
  <c r="M42" i="2"/>
  <c r="M56" i="2"/>
  <c r="M41" i="2"/>
  <c r="M57" i="1" l="1"/>
  <c r="M57" i="2"/>
  <c r="M57" i="3"/>
  <c r="O58" i="4"/>
  <c r="O54" i="4"/>
  <c r="O50" i="4"/>
  <c r="O46" i="4"/>
  <c r="O61" i="4"/>
  <c r="O62" i="4" s="1"/>
  <c r="O57" i="4"/>
  <c r="O53" i="4"/>
  <c r="O47" i="4"/>
  <c r="O41" i="4"/>
  <c r="O59" i="4"/>
  <c r="O56" i="4"/>
  <c r="O42" i="4"/>
  <c r="O55" i="4"/>
  <c r="O52" i="4"/>
  <c r="O51" i="4"/>
  <c r="O45" i="4"/>
  <c r="N56" i="1"/>
  <c r="N42" i="1"/>
  <c r="N41" i="1"/>
  <c r="N51" i="3"/>
  <c r="N47" i="3"/>
  <c r="N50" i="3"/>
  <c r="N49" i="3"/>
  <c r="N48" i="3"/>
  <c r="N46" i="3"/>
  <c r="N45" i="3"/>
  <c r="N42" i="3"/>
  <c r="N41" i="3"/>
  <c r="N56" i="3"/>
  <c r="N54" i="3"/>
  <c r="N53" i="3"/>
  <c r="N52" i="3"/>
  <c r="O61" i="5"/>
  <c r="O62" i="5" s="1"/>
  <c r="O56" i="5"/>
  <c r="O59" i="5"/>
  <c r="O58" i="5"/>
  <c r="O51" i="5"/>
  <c r="O46" i="5"/>
  <c r="O45" i="5"/>
  <c r="O42" i="5"/>
  <c r="O55" i="5"/>
  <c r="O53" i="5"/>
  <c r="O41" i="5"/>
  <c r="O52" i="5"/>
  <c r="O50" i="5"/>
  <c r="O47" i="5"/>
  <c r="O57" i="5"/>
  <c r="O54" i="5"/>
  <c r="N56" i="2"/>
  <c r="N42" i="2"/>
  <c r="N41" i="2"/>
  <c r="N22" i="6"/>
  <c r="O22" i="6" s="1"/>
  <c r="P22" i="6" s="1"/>
  <c r="Q22" i="6" s="1"/>
  <c r="R22" i="6" s="1"/>
  <c r="S22" i="6" s="1"/>
  <c r="T22" i="6" s="1"/>
  <c r="U22" i="6" s="1"/>
  <c r="V22" i="6" s="1"/>
  <c r="W22" i="6" s="1"/>
  <c r="X22" i="6" s="1"/>
  <c r="Y22" i="6" s="1"/>
  <c r="Z22" i="6" s="1"/>
  <c r="M31" i="6"/>
  <c r="N61" i="6"/>
  <c r="N62" i="6" s="1"/>
  <c r="N59" i="6"/>
  <c r="N55" i="6"/>
  <c r="N58" i="6"/>
  <c r="N57" i="6"/>
  <c r="N56" i="6"/>
  <c r="N52" i="6"/>
  <c r="N51" i="6"/>
  <c r="N47" i="6"/>
  <c r="N42" i="6"/>
  <c r="N41" i="6"/>
  <c r="N53" i="6"/>
  <c r="N54" i="6"/>
  <c r="N50" i="6"/>
  <c r="N46" i="6"/>
  <c r="N45" i="6"/>
  <c r="N57" i="1" l="1"/>
  <c r="N57" i="2"/>
  <c r="N57" i="3"/>
  <c r="O56" i="2"/>
  <c r="O42" i="2"/>
  <c r="O41" i="2"/>
  <c r="P59" i="5"/>
  <c r="P55" i="5"/>
  <c r="P58" i="5"/>
  <c r="P57" i="5"/>
  <c r="P61" i="5"/>
  <c r="P62" i="5" s="1"/>
  <c r="P50" i="5"/>
  <c r="P45" i="5"/>
  <c r="P42" i="5"/>
  <c r="P53" i="5"/>
  <c r="P41" i="5"/>
  <c r="P56" i="5"/>
  <c r="P54" i="5"/>
  <c r="P52" i="5"/>
  <c r="P47" i="5"/>
  <c r="P46" i="5"/>
  <c r="O56" i="1"/>
  <c r="O42" i="1"/>
  <c r="O41" i="1"/>
  <c r="O61" i="6"/>
  <c r="O62" i="6" s="1"/>
  <c r="O59" i="6"/>
  <c r="O58" i="6"/>
  <c r="O57" i="6"/>
  <c r="O56" i="6"/>
  <c r="O47" i="6"/>
  <c r="O54" i="6"/>
  <c r="O46" i="6"/>
  <c r="O45" i="6"/>
  <c r="O52" i="6"/>
  <c r="O55" i="6"/>
  <c r="O51" i="6"/>
  <c r="O53" i="6"/>
  <c r="O42" i="6"/>
  <c r="O41" i="6"/>
  <c r="O50" i="6"/>
  <c r="O54" i="3"/>
  <c r="O50" i="3"/>
  <c r="O46" i="3"/>
  <c r="O56" i="3"/>
  <c r="O53" i="3"/>
  <c r="O52" i="3"/>
  <c r="O51" i="3"/>
  <c r="O49" i="3"/>
  <c r="O48" i="3"/>
  <c r="O47" i="3"/>
  <c r="O45" i="3"/>
  <c r="O42" i="3"/>
  <c r="O41" i="3"/>
  <c r="P61" i="4"/>
  <c r="P62" i="4" s="1"/>
  <c r="P57" i="4"/>
  <c r="P53" i="4"/>
  <c r="P47" i="4"/>
  <c r="P41" i="4"/>
  <c r="P56" i="4"/>
  <c r="P52" i="4"/>
  <c r="P45" i="4"/>
  <c r="P55" i="4"/>
  <c r="P50" i="4"/>
  <c r="P46" i="4"/>
  <c r="P51" i="4"/>
  <c r="P58" i="4"/>
  <c r="P59" i="4"/>
  <c r="P42" i="4"/>
  <c r="P54" i="4"/>
  <c r="O57" i="1" l="1"/>
  <c r="O57" i="2"/>
  <c r="O57" i="3"/>
  <c r="Q58" i="5"/>
  <c r="Q54" i="5"/>
  <c r="Q59" i="5"/>
  <c r="Q61" i="5"/>
  <c r="Q62" i="5" s="1"/>
  <c r="Q47" i="5"/>
  <c r="Q41" i="5"/>
  <c r="Q55" i="5"/>
  <c r="Q56" i="5"/>
  <c r="Q52" i="5"/>
  <c r="Q57" i="5"/>
  <c r="Q50" i="5"/>
  <c r="Q46" i="5"/>
  <c r="Q53" i="5"/>
  <c r="Q45" i="5"/>
  <c r="Q42" i="5"/>
  <c r="P42" i="1"/>
  <c r="P41" i="1"/>
  <c r="P56" i="1"/>
  <c r="P56" i="2"/>
  <c r="P42" i="2"/>
  <c r="P41" i="2"/>
  <c r="Q56" i="4"/>
  <c r="Q52" i="4"/>
  <c r="Q45" i="4"/>
  <c r="Q59" i="4"/>
  <c r="Q55" i="4"/>
  <c r="Q42" i="4"/>
  <c r="Q61" i="4"/>
  <c r="Q62" i="4" s="1"/>
  <c r="Q57" i="4"/>
  <c r="Q58" i="4"/>
  <c r="Q53" i="4"/>
  <c r="Q54" i="4"/>
  <c r="Q47" i="4"/>
  <c r="Q41" i="4"/>
  <c r="Q50" i="4"/>
  <c r="Q46" i="4"/>
  <c r="P56" i="3"/>
  <c r="P53" i="3"/>
  <c r="P49" i="3"/>
  <c r="P45" i="3"/>
  <c r="P41" i="3"/>
  <c r="P52" i="3"/>
  <c r="P51" i="3"/>
  <c r="P48" i="3"/>
  <c r="P47" i="3"/>
  <c r="P42" i="3"/>
  <c r="P54" i="3"/>
  <c r="P50" i="3"/>
  <c r="P46" i="3"/>
  <c r="P61" i="6"/>
  <c r="P62" i="6" s="1"/>
  <c r="P58" i="6"/>
  <c r="P57" i="6"/>
  <c r="P56" i="6"/>
  <c r="P59" i="6"/>
  <c r="P55" i="6"/>
  <c r="P54" i="6"/>
  <c r="P53" i="6"/>
  <c r="P50" i="6"/>
  <c r="P52" i="6"/>
  <c r="P45" i="6"/>
  <c r="P47" i="6"/>
  <c r="P42" i="6"/>
  <c r="P41" i="6"/>
  <c r="P46" i="6"/>
  <c r="P57" i="1" l="1"/>
  <c r="P57" i="2"/>
  <c r="P57" i="3"/>
  <c r="Q56" i="6"/>
  <c r="Q59" i="6"/>
  <c r="Q55" i="6"/>
  <c r="Q61" i="6"/>
  <c r="Q62" i="6" s="1"/>
  <c r="Q58" i="6"/>
  <c r="Q53" i="6"/>
  <c r="Q50" i="6"/>
  <c r="Q52" i="6"/>
  <c r="Q57" i="6"/>
  <c r="Q54" i="6"/>
  <c r="Q47" i="6"/>
  <c r="Q46" i="6"/>
  <c r="Q45" i="6"/>
  <c r="Q42" i="6"/>
  <c r="Q41" i="6"/>
  <c r="R59" i="4"/>
  <c r="R55" i="4"/>
  <c r="R42" i="4"/>
  <c r="R58" i="4"/>
  <c r="R54" i="4"/>
  <c r="R50" i="4"/>
  <c r="R46" i="4"/>
  <c r="R53" i="4"/>
  <c r="R52" i="4"/>
  <c r="R47" i="4"/>
  <c r="R45" i="4"/>
  <c r="R41" i="4"/>
  <c r="R56" i="4"/>
  <c r="R57" i="4"/>
  <c r="R61" i="4"/>
  <c r="R62" i="4" s="1"/>
  <c r="Q42" i="2"/>
  <c r="Q41" i="2"/>
  <c r="Q56" i="2"/>
  <c r="Q56" i="1"/>
  <c r="Q42" i="1"/>
  <c r="Q41" i="1"/>
  <c r="Q52" i="3"/>
  <c r="Q48" i="3"/>
  <c r="Q42" i="3"/>
  <c r="Q51" i="3"/>
  <c r="Q47" i="3"/>
  <c r="Q56" i="3"/>
  <c r="Q54" i="3"/>
  <c r="Q53" i="3"/>
  <c r="Q50" i="3"/>
  <c r="Q49" i="3"/>
  <c r="Q46" i="3"/>
  <c r="Q45" i="3"/>
  <c r="Q41" i="3"/>
  <c r="R61" i="5"/>
  <c r="R62" i="5" s="1"/>
  <c r="R57" i="5"/>
  <c r="R53" i="5"/>
  <c r="R56" i="5"/>
  <c r="R52" i="5"/>
  <c r="R59" i="5"/>
  <c r="R58" i="5"/>
  <c r="R54" i="5"/>
  <c r="R50" i="5"/>
  <c r="R47" i="5"/>
  <c r="R46" i="5"/>
  <c r="R45" i="5"/>
  <c r="R42" i="5"/>
  <c r="R55" i="5"/>
  <c r="R41" i="5"/>
  <c r="Q57" i="1" l="1"/>
  <c r="Q57" i="2"/>
  <c r="Q57" i="3"/>
  <c r="R51" i="3"/>
  <c r="R47" i="3"/>
  <c r="R56" i="3"/>
  <c r="R54" i="3"/>
  <c r="R53" i="3"/>
  <c r="R52" i="3"/>
  <c r="R50" i="3"/>
  <c r="R49" i="3"/>
  <c r="R48" i="3"/>
  <c r="R46" i="3"/>
  <c r="R45" i="3"/>
  <c r="R42" i="3"/>
  <c r="R41" i="3"/>
  <c r="R56" i="1"/>
  <c r="R42" i="1"/>
  <c r="R41" i="1"/>
  <c r="S61" i="5"/>
  <c r="S56" i="5"/>
  <c r="S52" i="5"/>
  <c r="S62" i="5"/>
  <c r="S59" i="5"/>
  <c r="S58" i="5"/>
  <c r="S57" i="5"/>
  <c r="S55" i="5"/>
  <c r="S54" i="5"/>
  <c r="S53" i="5"/>
  <c r="S46" i="5"/>
  <c r="S50" i="5"/>
  <c r="S47" i="5"/>
  <c r="S45" i="5"/>
  <c r="S42" i="5"/>
  <c r="S41" i="5"/>
  <c r="R61" i="6"/>
  <c r="R62" i="6" s="1"/>
  <c r="R59" i="6"/>
  <c r="R55" i="6"/>
  <c r="R58" i="6"/>
  <c r="R57" i="6"/>
  <c r="R52" i="6"/>
  <c r="R47" i="6"/>
  <c r="R42" i="6"/>
  <c r="R41" i="6"/>
  <c r="R56" i="6"/>
  <c r="R53" i="6"/>
  <c r="R46" i="6"/>
  <c r="R45" i="6"/>
  <c r="R54" i="6"/>
  <c r="R50" i="6"/>
  <c r="R52" i="2" a="1"/>
  <c r="R52" i="2" s="1"/>
  <c r="R48" i="2" a="1"/>
  <c r="R48" i="2" s="1"/>
  <c r="R51" i="2" a="1"/>
  <c r="R51" i="2" s="1"/>
  <c r="R47" i="2" a="1"/>
  <c r="R47" i="2" s="1"/>
  <c r="R56" i="2"/>
  <c r="R54" i="2" a="1"/>
  <c r="R54" i="2" s="1"/>
  <c r="R50" i="2" a="1"/>
  <c r="R50" i="2" s="1"/>
  <c r="R46" i="2" a="1"/>
  <c r="R46" i="2" s="1"/>
  <c r="R49" i="2" a="1"/>
  <c r="R49" i="2" s="1"/>
  <c r="R42" i="2"/>
  <c r="R41" i="2"/>
  <c r="R53" i="2" a="1"/>
  <c r="R53" i="2" s="1"/>
  <c r="R45" i="2" a="1"/>
  <c r="R45" i="2" s="1"/>
  <c r="S58" i="4"/>
  <c r="S54" i="4"/>
  <c r="S50" i="4"/>
  <c r="S46" i="4"/>
  <c r="S61" i="4"/>
  <c r="S62" i="4" s="1"/>
  <c r="S57" i="4"/>
  <c r="S53" i="4"/>
  <c r="S47" i="4"/>
  <c r="S41" i="4"/>
  <c r="S45" i="4"/>
  <c r="S59" i="4"/>
  <c r="S56" i="4"/>
  <c r="S42" i="4"/>
  <c r="S55" i="4"/>
  <c r="S52" i="4"/>
  <c r="R57" i="1" l="1"/>
  <c r="R57" i="2"/>
  <c r="R57" i="3"/>
  <c r="T61" i="4"/>
  <c r="T62" i="4" s="1"/>
  <c r="T57" i="4"/>
  <c r="T53" i="4"/>
  <c r="T47" i="4"/>
  <c r="T41" i="4"/>
  <c r="T56" i="4"/>
  <c r="T52" i="4"/>
  <c r="T45" i="4"/>
  <c r="T58" i="4"/>
  <c r="T59" i="4"/>
  <c r="T54" i="4"/>
  <c r="T42" i="4"/>
  <c r="T55" i="4"/>
  <c r="T50" i="4"/>
  <c r="T46" i="4"/>
  <c r="S61" i="6"/>
  <c r="S62" i="6" s="1"/>
  <c r="S59" i="6"/>
  <c r="S58" i="6"/>
  <c r="S57" i="6"/>
  <c r="S56" i="6"/>
  <c r="S47" i="6"/>
  <c r="S55" i="6"/>
  <c r="S54" i="6"/>
  <c r="S46" i="6"/>
  <c r="S45" i="6"/>
  <c r="S52" i="6"/>
  <c r="S53" i="6"/>
  <c r="S50" i="6"/>
  <c r="S41" i="6"/>
  <c r="S42" i="6"/>
  <c r="S56" i="1"/>
  <c r="S41" i="1"/>
  <c r="S42" i="1"/>
  <c r="S51" i="2"/>
  <c r="S47" i="2"/>
  <c r="S56" i="2"/>
  <c r="S54" i="2"/>
  <c r="S50" i="2"/>
  <c r="S46" i="2"/>
  <c r="S53" i="2"/>
  <c r="S49" i="2"/>
  <c r="S45" i="2"/>
  <c r="S52" i="2"/>
  <c r="S41" i="2"/>
  <c r="S48" i="2"/>
  <c r="S42" i="2"/>
  <c r="S54" i="3"/>
  <c r="S50" i="3"/>
  <c r="S46" i="3"/>
  <c r="S45" i="3"/>
  <c r="S42" i="3"/>
  <c r="S41" i="3"/>
  <c r="S56" i="3"/>
  <c r="S53" i="3"/>
  <c r="S52" i="3"/>
  <c r="S51" i="3"/>
  <c r="S47" i="3"/>
  <c r="S48" i="3"/>
  <c r="S49" i="3"/>
  <c r="T59" i="5"/>
  <c r="T55" i="5"/>
  <c r="T61" i="5"/>
  <c r="T62" i="5" s="1"/>
  <c r="T58" i="5"/>
  <c r="T50" i="5"/>
  <c r="T45" i="5"/>
  <c r="T42" i="5"/>
  <c r="T56" i="5"/>
  <c r="T54" i="5"/>
  <c r="T52" i="5"/>
  <c r="T46" i="5"/>
  <c r="T57" i="5"/>
  <c r="T41" i="5"/>
  <c r="T53" i="5"/>
  <c r="T47" i="5"/>
  <c r="S57" i="1" l="1"/>
  <c r="S57" i="2"/>
  <c r="S57" i="3"/>
  <c r="U58" i="5"/>
  <c r="U54" i="5"/>
  <c r="U57" i="5"/>
  <c r="U59" i="5"/>
  <c r="U47" i="5"/>
  <c r="U41" i="5"/>
  <c r="U45" i="5"/>
  <c r="U42" i="5"/>
  <c r="U53" i="5"/>
  <c r="U55" i="5"/>
  <c r="P51" i="5"/>
  <c r="Q51" i="5" s="1"/>
  <c r="R51" i="5" s="1"/>
  <c r="S51" i="5" s="1"/>
  <c r="T51" i="5" s="1"/>
  <c r="U51" i="5" s="1"/>
  <c r="U56" i="5"/>
  <c r="U52" i="5"/>
  <c r="U50" i="5"/>
  <c r="U61" i="5"/>
  <c r="U62" i="5" s="1"/>
  <c r="U46" i="5"/>
  <c r="T56" i="3"/>
  <c r="T57" i="3" s="1"/>
  <c r="T53" i="3"/>
  <c r="T49" i="3"/>
  <c r="T45" i="3"/>
  <c r="T41" i="3"/>
  <c r="T52" i="3"/>
  <c r="T51" i="3"/>
  <c r="T48" i="3"/>
  <c r="T47" i="3"/>
  <c r="T42" i="3"/>
  <c r="T46" i="3"/>
  <c r="T54" i="3"/>
  <c r="T50" i="3"/>
  <c r="T42" i="1"/>
  <c r="T41" i="1"/>
  <c r="T56" i="1"/>
  <c r="T57" i="1" s="1"/>
  <c r="T56" i="2"/>
  <c r="T54" i="2"/>
  <c r="T50" i="2"/>
  <c r="T46" i="2"/>
  <c r="T53" i="2"/>
  <c r="T49" i="2"/>
  <c r="T45" i="2"/>
  <c r="T52" i="2"/>
  <c r="T48" i="2"/>
  <c r="T42" i="2"/>
  <c r="T41" i="2"/>
  <c r="T47" i="2"/>
  <c r="T51" i="2"/>
  <c r="T59" i="6"/>
  <c r="T58" i="6"/>
  <c r="T57" i="6"/>
  <c r="T61" i="6"/>
  <c r="T62" i="6" s="1"/>
  <c r="T56" i="6"/>
  <c r="T55" i="6"/>
  <c r="T54" i="6"/>
  <c r="T53" i="6"/>
  <c r="T50" i="6"/>
  <c r="T52" i="6"/>
  <c r="T47" i="6"/>
  <c r="T46" i="6"/>
  <c r="T45" i="6"/>
  <c r="T42" i="6"/>
  <c r="T41" i="6"/>
  <c r="U56" i="4"/>
  <c r="U52" i="4"/>
  <c r="U45" i="4"/>
  <c r="U59" i="4"/>
  <c r="U55" i="4"/>
  <c r="U42" i="4"/>
  <c r="U54" i="4"/>
  <c r="U47" i="4"/>
  <c r="U41" i="4"/>
  <c r="U50" i="4"/>
  <c r="U46" i="4"/>
  <c r="U61" i="4"/>
  <c r="U62" i="4" s="1"/>
  <c r="U57" i="4"/>
  <c r="U58" i="4"/>
  <c r="U53" i="4"/>
  <c r="T57" i="2" l="1"/>
  <c r="V59" i="4"/>
  <c r="V55" i="4"/>
  <c r="V42" i="4"/>
  <c r="V58" i="4"/>
  <c r="V54" i="4"/>
  <c r="Q51" i="4"/>
  <c r="R51" i="4" s="1"/>
  <c r="S51" i="4" s="1"/>
  <c r="T51" i="4" s="1"/>
  <c r="U51" i="4" s="1"/>
  <c r="V51" i="4" s="1"/>
  <c r="V50" i="4"/>
  <c r="V46" i="4"/>
  <c r="V61" i="4"/>
  <c r="V62" i="4" s="1"/>
  <c r="V57" i="4"/>
  <c r="V56" i="4"/>
  <c r="V53" i="4"/>
  <c r="V52" i="4"/>
  <c r="V47" i="4"/>
  <c r="V41" i="4"/>
  <c r="V45" i="4"/>
  <c r="V57" i="5"/>
  <c r="V53" i="5"/>
  <c r="V59" i="5"/>
  <c r="V58" i="5"/>
  <c r="V61" i="5"/>
  <c r="V62" i="5" s="1"/>
  <c r="V41" i="5"/>
  <c r="V55" i="5"/>
  <c r="V51" i="5"/>
  <c r="V56" i="5"/>
  <c r="V52" i="5"/>
  <c r="V50" i="5"/>
  <c r="V47" i="5"/>
  <c r="V46" i="5"/>
  <c r="V54" i="5"/>
  <c r="V45" i="5"/>
  <c r="V42" i="5"/>
  <c r="U56" i="1"/>
  <c r="U57" i="1" s="1"/>
  <c r="U41" i="1"/>
  <c r="U42" i="1"/>
  <c r="U52" i="3"/>
  <c r="U48" i="3"/>
  <c r="U42" i="3"/>
  <c r="U51" i="3"/>
  <c r="U47" i="3"/>
  <c r="U56" i="3"/>
  <c r="U57" i="3" s="1"/>
  <c r="U54" i="3"/>
  <c r="U53" i="3"/>
  <c r="V53" i="3" s="1"/>
  <c r="U50" i="3"/>
  <c r="U49" i="3"/>
  <c r="U46" i="3"/>
  <c r="U45" i="3"/>
  <c r="U41" i="3"/>
  <c r="U61" i="6"/>
  <c r="U62" i="6" s="1"/>
  <c r="U56" i="6"/>
  <c r="U55" i="6"/>
  <c r="U59" i="6"/>
  <c r="U58" i="6"/>
  <c r="U53" i="6"/>
  <c r="U50" i="6"/>
  <c r="U57" i="6"/>
  <c r="U52" i="6"/>
  <c r="U54" i="6"/>
  <c r="P51" i="6"/>
  <c r="Q51" i="6" s="1"/>
  <c r="R51" i="6" s="1"/>
  <c r="S51" i="6" s="1"/>
  <c r="T51" i="6" s="1"/>
  <c r="U51" i="6" s="1"/>
  <c r="U47" i="6"/>
  <c r="U46" i="6"/>
  <c r="U45" i="6"/>
  <c r="U42" i="6"/>
  <c r="U41" i="6"/>
  <c r="U53" i="2"/>
  <c r="U49" i="2"/>
  <c r="U52" i="2"/>
  <c r="U48" i="2"/>
  <c r="U42" i="2"/>
  <c r="U51" i="2"/>
  <c r="U47" i="2"/>
  <c r="U50" i="2"/>
  <c r="U56" i="2"/>
  <c r="U54" i="2"/>
  <c r="U46" i="2"/>
  <c r="U45" i="2"/>
  <c r="U41" i="2"/>
  <c r="U57" i="2" l="1"/>
  <c r="V51" i="3"/>
  <c r="V47" i="3"/>
  <c r="V56" i="3"/>
  <c r="V57" i="3" s="1"/>
  <c r="V54" i="3"/>
  <c r="V52" i="3"/>
  <c r="V50" i="3"/>
  <c r="V49" i="3"/>
  <c r="V48" i="3"/>
  <c r="V46" i="3"/>
  <c r="V45" i="3"/>
  <c r="V42" i="3"/>
  <c r="V41" i="3"/>
  <c r="V56" i="1"/>
  <c r="V57" i="1" s="1"/>
  <c r="V54" i="1" a="1"/>
  <c r="V54" i="1" s="1"/>
  <c r="V50" i="1" a="1"/>
  <c r="V50" i="1" s="1"/>
  <c r="V46" i="1" a="1"/>
  <c r="V46" i="1" s="1"/>
  <c r="V53" i="1" a="1"/>
  <c r="V53" i="1" s="1"/>
  <c r="V49" i="1" a="1"/>
  <c r="V49" i="1" s="1"/>
  <c r="V52" i="1" a="1"/>
  <c r="V52" i="1" s="1"/>
  <c r="V48" i="1" a="1"/>
  <c r="V48" i="1" s="1"/>
  <c r="V42" i="1"/>
  <c r="V41" i="1"/>
  <c r="V51" i="1" a="1"/>
  <c r="V51" i="1" s="1"/>
  <c r="V45" i="1" a="1"/>
  <c r="V45" i="1" s="1"/>
  <c r="V47" i="1" a="1"/>
  <c r="V47" i="1" s="1"/>
  <c r="W58" i="4"/>
  <c r="W54" i="4"/>
  <c r="W50" i="4"/>
  <c r="W46" i="4"/>
  <c r="W61" i="4"/>
  <c r="W62" i="4" s="1"/>
  <c r="W57" i="4"/>
  <c r="W53" i="4"/>
  <c r="W47" i="4"/>
  <c r="W41" i="4"/>
  <c r="W59" i="4"/>
  <c r="W56" i="4"/>
  <c r="W42" i="4"/>
  <c r="W55" i="4"/>
  <c r="W52" i="4"/>
  <c r="W51" i="4"/>
  <c r="W45" i="4"/>
  <c r="V52" i="2"/>
  <c r="V48" i="2"/>
  <c r="V51" i="2"/>
  <c r="V47" i="2"/>
  <c r="V56" i="2"/>
  <c r="V54" i="2"/>
  <c r="V50" i="2"/>
  <c r="V46" i="2"/>
  <c r="V53" i="2"/>
  <c r="V45" i="2"/>
  <c r="V41" i="2"/>
  <c r="V42" i="2"/>
  <c r="V49" i="2"/>
  <c r="W61" i="5"/>
  <c r="W62" i="5"/>
  <c r="W56" i="5"/>
  <c r="W52" i="5"/>
  <c r="W51" i="5"/>
  <c r="W46" i="5"/>
  <c r="W59" i="5"/>
  <c r="W58" i="5"/>
  <c r="X58" i="5" s="1"/>
  <c r="W57" i="5"/>
  <c r="W55" i="5"/>
  <c r="W53" i="5"/>
  <c r="W50" i="5"/>
  <c r="W47" i="5"/>
  <c r="W54" i="5"/>
  <c r="W45" i="5"/>
  <c r="W42" i="5"/>
  <c r="W41" i="5"/>
  <c r="V61" i="6"/>
  <c r="V62" i="6" s="1"/>
  <c r="V59" i="6"/>
  <c r="V55" i="6"/>
  <c r="V58" i="6"/>
  <c r="V57" i="6"/>
  <c r="V52" i="6"/>
  <c r="V51" i="6"/>
  <c r="V47" i="6"/>
  <c r="V42" i="6"/>
  <c r="V41" i="6"/>
  <c r="V53" i="6"/>
  <c r="V50" i="6"/>
  <c r="V56" i="6"/>
  <c r="V46" i="6"/>
  <c r="V45" i="6"/>
  <c r="V54" i="6"/>
  <c r="V57" i="2" l="1"/>
  <c r="W61" i="6"/>
  <c r="W62" i="6" s="1"/>
  <c r="W59" i="6"/>
  <c r="W58" i="6"/>
  <c r="X58" i="6" s="1"/>
  <c r="W57" i="6"/>
  <c r="W56" i="6"/>
  <c r="W55" i="6"/>
  <c r="W47" i="6"/>
  <c r="W54" i="6"/>
  <c r="W46" i="6"/>
  <c r="W45" i="6"/>
  <c r="W52" i="6"/>
  <c r="W53" i="6"/>
  <c r="W42" i="6"/>
  <c r="W50" i="6"/>
  <c r="W41" i="6"/>
  <c r="W51" i="6"/>
  <c r="W51" i="2"/>
  <c r="W47" i="2"/>
  <c r="W56" i="2"/>
  <c r="W54" i="2"/>
  <c r="W50" i="2"/>
  <c r="W46" i="2"/>
  <c r="W53" i="2"/>
  <c r="W49" i="2"/>
  <c r="W45" i="2"/>
  <c r="W52" i="2"/>
  <c r="W41" i="2"/>
  <c r="W42" i="2"/>
  <c r="W48" i="2"/>
  <c r="X61" i="5"/>
  <c r="X62" i="5" s="1"/>
  <c r="X59" i="5"/>
  <c r="X55" i="5"/>
  <c r="X57" i="5"/>
  <c r="X56" i="5"/>
  <c r="X54" i="5"/>
  <c r="X53" i="5"/>
  <c r="X52" i="5"/>
  <c r="X50" i="5"/>
  <c r="X45" i="5"/>
  <c r="X42" i="5"/>
  <c r="X51" i="5"/>
  <c r="X47" i="5"/>
  <c r="X46" i="5"/>
  <c r="X41" i="5"/>
  <c r="X61" i="4"/>
  <c r="X62" i="4" s="1"/>
  <c r="X57" i="4"/>
  <c r="X53" i="4"/>
  <c r="X47" i="4"/>
  <c r="X41" i="4"/>
  <c r="X56" i="4"/>
  <c r="X52" i="4"/>
  <c r="X45" i="4"/>
  <c r="X55" i="4"/>
  <c r="X50" i="4"/>
  <c r="X46" i="4"/>
  <c r="X51" i="4"/>
  <c r="X58" i="4"/>
  <c r="Y58" i="4" s="1"/>
  <c r="X54" i="4"/>
  <c r="X59" i="4"/>
  <c r="X42" i="4"/>
  <c r="W54" i="3"/>
  <c r="W50" i="3"/>
  <c r="W46" i="3"/>
  <c r="W56" i="3"/>
  <c r="W57" i="3" s="1"/>
  <c r="W53" i="3"/>
  <c r="W52" i="3"/>
  <c r="W51" i="3"/>
  <c r="W49" i="3"/>
  <c r="W48" i="3"/>
  <c r="W47" i="3"/>
  <c r="W45" i="3"/>
  <c r="W42" i="3"/>
  <c r="W41" i="3"/>
  <c r="W53" i="1"/>
  <c r="W49" i="1"/>
  <c r="W45" i="1"/>
  <c r="W52" i="1"/>
  <c r="W48" i="1"/>
  <c r="W51" i="1"/>
  <c r="W47" i="1"/>
  <c r="W54" i="1"/>
  <c r="W50" i="1"/>
  <c r="W42" i="1"/>
  <c r="W56" i="1"/>
  <c r="W57" i="1" s="1"/>
  <c r="W41" i="1"/>
  <c r="W46" i="1"/>
  <c r="W57" i="2" l="1"/>
  <c r="Y56" i="4"/>
  <c r="Y52" i="4"/>
  <c r="Y45" i="4"/>
  <c r="Y59" i="4"/>
  <c r="Y55" i="4"/>
  <c r="Y51" i="4"/>
  <c r="Y42" i="4"/>
  <c r="Y61" i="4"/>
  <c r="Y62" i="4" s="1"/>
  <c r="Y57" i="4"/>
  <c r="Y53" i="4"/>
  <c r="Y54" i="4"/>
  <c r="Y47" i="4"/>
  <c r="Y41" i="4"/>
  <c r="Y50" i="4"/>
  <c r="Y46" i="4"/>
  <c r="X52" i="1"/>
  <c r="X48" i="1"/>
  <c r="X42" i="1"/>
  <c r="X41" i="1"/>
  <c r="X51" i="1"/>
  <c r="X47" i="1"/>
  <c r="X56" i="1"/>
  <c r="X57" i="1" s="1"/>
  <c r="X54" i="1"/>
  <c r="X50" i="1"/>
  <c r="X46" i="1"/>
  <c r="X53" i="1"/>
  <c r="X45" i="1"/>
  <c r="X49" i="1"/>
  <c r="X61" i="6"/>
  <c r="X62" i="6" s="1"/>
  <c r="X57" i="6"/>
  <c r="X59" i="6"/>
  <c r="X56" i="6"/>
  <c r="X55" i="6"/>
  <c r="X54" i="6"/>
  <c r="X53" i="6"/>
  <c r="X50" i="6"/>
  <c r="X46" i="6"/>
  <c r="X45" i="6"/>
  <c r="X51" i="6"/>
  <c r="X41" i="6"/>
  <c r="X42" i="6"/>
  <c r="X47" i="6"/>
  <c r="X52" i="6"/>
  <c r="Y58" i="5"/>
  <c r="Y54" i="5"/>
  <c r="Y61" i="5"/>
  <c r="Y62" i="5" s="1"/>
  <c r="Y59" i="5"/>
  <c r="Y55" i="5"/>
  <c r="Y47" i="5"/>
  <c r="Y41" i="5"/>
  <c r="Y50" i="5"/>
  <c r="Y46" i="5"/>
  <c r="Y56" i="5"/>
  <c r="Y52" i="5"/>
  <c r="Y45" i="5"/>
  <c r="Y42" i="5"/>
  <c r="Y53" i="5"/>
  <c r="Y57" i="5"/>
  <c r="Y51" i="5"/>
  <c r="X56" i="3"/>
  <c r="X57" i="3" s="1"/>
  <c r="X53" i="3"/>
  <c r="X49" i="3"/>
  <c r="X45" i="3"/>
  <c r="X41" i="3"/>
  <c r="X54" i="3"/>
  <c r="X50" i="3"/>
  <c r="X46" i="3"/>
  <c r="X52" i="3"/>
  <c r="X51" i="3"/>
  <c r="X48" i="3"/>
  <c r="X47" i="3"/>
  <c r="X42" i="3"/>
  <c r="X56" i="2"/>
  <c r="X54" i="2"/>
  <c r="X50" i="2"/>
  <c r="X46" i="2"/>
  <c r="X53" i="2"/>
  <c r="X49" i="2"/>
  <c r="X45" i="2"/>
  <c r="X52" i="2"/>
  <c r="X48" i="2"/>
  <c r="X42" i="2"/>
  <c r="X41" i="2"/>
  <c r="X51" i="2"/>
  <c r="X47" i="2"/>
  <c r="X57" i="2" l="1"/>
  <c r="Y51" i="1"/>
  <c r="Y47" i="1"/>
  <c r="Y56" i="1"/>
  <c r="Y57" i="1" s="1"/>
  <c r="Y54" i="1"/>
  <c r="Y50" i="1"/>
  <c r="Y53" i="1"/>
  <c r="Y49" i="1"/>
  <c r="Y45" i="1"/>
  <c r="Y48" i="1"/>
  <c r="Y42" i="1"/>
  <c r="Y46" i="1"/>
  <c r="Y41" i="1"/>
  <c r="Y52" i="1"/>
  <c r="Z59" i="4"/>
  <c r="Z55" i="4"/>
  <c r="Z51" i="4"/>
  <c r="Z42" i="4"/>
  <c r="Z58" i="4"/>
  <c r="Z54" i="4"/>
  <c r="Z50" i="4"/>
  <c r="Z46" i="4"/>
  <c r="Z53" i="4"/>
  <c r="Z52" i="4"/>
  <c r="Z47" i="4"/>
  <c r="Z45" i="4"/>
  <c r="Z41" i="4"/>
  <c r="Z56" i="4"/>
  <c r="Z61" i="4"/>
  <c r="Z62" i="4" s="1"/>
  <c r="Z57" i="4"/>
  <c r="Y53" i="2"/>
  <c r="Y49" i="2"/>
  <c r="Y45" i="2"/>
  <c r="Y52" i="2"/>
  <c r="Y48" i="2"/>
  <c r="Y42" i="2"/>
  <c r="Y51" i="2"/>
  <c r="Y47" i="2"/>
  <c r="Y56" i="2"/>
  <c r="Y54" i="2"/>
  <c r="Y46" i="2"/>
  <c r="Y41" i="2"/>
  <c r="Y50" i="2"/>
  <c r="Y52" i="3"/>
  <c r="Y48" i="3"/>
  <c r="Y42" i="3"/>
  <c r="Y51" i="3"/>
  <c r="Y47" i="3"/>
  <c r="Y56" i="3"/>
  <c r="Y57" i="3" s="1"/>
  <c r="Y54" i="3"/>
  <c r="Y53" i="3"/>
  <c r="Y50" i="3"/>
  <c r="Y49" i="3"/>
  <c r="Y45" i="3"/>
  <c r="Y46" i="3"/>
  <c r="Y41" i="3"/>
  <c r="Z57" i="5"/>
  <c r="Z53" i="5"/>
  <c r="Z61" i="5"/>
  <c r="Z62" i="5" s="1"/>
  <c r="Z59" i="5"/>
  <c r="Z58" i="5"/>
  <c r="Z56" i="5"/>
  <c r="Z52" i="5"/>
  <c r="Z45" i="5"/>
  <c r="Z42" i="5"/>
  <c r="Z54" i="5"/>
  <c r="Z41" i="5"/>
  <c r="Z51" i="5"/>
  <c r="Z46" i="5"/>
  <c r="Z50" i="5"/>
  <c r="Z55" i="5"/>
  <c r="Z47" i="5"/>
  <c r="Y59" i="6"/>
  <c r="Y56" i="6"/>
  <c r="Y55" i="6"/>
  <c r="Y61" i="6"/>
  <c r="Y62" i="6" s="1"/>
  <c r="Y58" i="6"/>
  <c r="Y57" i="6"/>
  <c r="Y53" i="6"/>
  <c r="Y50" i="6"/>
  <c r="Y52" i="6"/>
  <c r="Y51" i="6"/>
  <c r="Y54" i="6"/>
  <c r="Y47" i="6"/>
  <c r="Y46" i="6"/>
  <c r="Y42" i="6"/>
  <c r="Y41" i="6"/>
  <c r="Y45" i="6"/>
  <c r="Y57" i="2" l="1"/>
  <c r="Z52" i="2"/>
  <c r="Z48" i="2"/>
  <c r="Z51" i="2"/>
  <c r="Z47" i="2"/>
  <c r="Z56" i="2"/>
  <c r="Z57" i="2" s="1"/>
  <c r="Z54" i="2"/>
  <c r="Z50" i="2"/>
  <c r="Z46" i="2"/>
  <c r="Z53" i="2"/>
  <c r="Z45" i="2"/>
  <c r="Z42" i="2"/>
  <c r="Z49" i="2"/>
  <c r="Z41" i="2"/>
  <c r="Z61" i="6"/>
  <c r="Z62" i="6" s="1"/>
  <c r="Z59" i="6"/>
  <c r="Z55" i="6"/>
  <c r="Z58" i="6"/>
  <c r="Z57" i="6"/>
  <c r="Z52" i="6"/>
  <c r="Z51" i="6"/>
  <c r="Z56" i="6"/>
  <c r="Z47" i="6"/>
  <c r="Z42" i="6"/>
  <c r="Z41" i="6"/>
  <c r="Z53" i="6"/>
  <c r="Z54" i="6"/>
  <c r="Z50" i="6"/>
  <c r="Z45" i="6"/>
  <c r="Z46" i="6"/>
  <c r="AA58" i="4"/>
  <c r="AA54" i="4"/>
  <c r="AA50" i="4"/>
  <c r="AA46" i="4"/>
  <c r="AA61" i="4"/>
  <c r="AA62" i="4" s="1"/>
  <c r="AA57" i="4"/>
  <c r="AA53" i="4"/>
  <c r="AA47" i="4"/>
  <c r="AA41" i="4"/>
  <c r="AA51" i="4"/>
  <c r="AA45" i="4"/>
  <c r="AA59" i="4"/>
  <c r="AA56" i="4"/>
  <c r="AA42" i="4"/>
  <c r="AA55" i="4"/>
  <c r="AA52" i="4"/>
  <c r="AA61" i="5"/>
  <c r="AA62" i="5" s="1"/>
  <c r="AA56" i="5"/>
  <c r="AA52" i="5"/>
  <c r="AA59" i="5"/>
  <c r="AA58" i="5"/>
  <c r="AA57" i="5"/>
  <c r="AA51" i="5"/>
  <c r="AA46" i="5"/>
  <c r="AA54" i="5"/>
  <c r="AA41" i="5"/>
  <c r="AA55" i="5"/>
  <c r="AA53" i="5"/>
  <c r="AA50" i="5"/>
  <c r="AA47" i="5"/>
  <c r="AA45" i="5"/>
  <c r="AA42" i="5"/>
  <c r="Z51" i="3"/>
  <c r="Z47" i="3"/>
  <c r="Z56" i="3"/>
  <c r="Z57" i="3" s="1"/>
  <c r="Z54" i="3"/>
  <c r="Z53" i="3"/>
  <c r="Z52" i="3"/>
  <c r="Z50" i="3"/>
  <c r="Z49" i="3"/>
  <c r="Z48" i="3"/>
  <c r="Z46" i="3"/>
  <c r="Z45" i="3"/>
  <c r="Z42" i="3"/>
  <c r="Z41" i="3"/>
  <c r="Z56" i="1"/>
  <c r="Z57" i="1" s="1"/>
  <c r="Z54" i="1"/>
  <c r="Z50" i="1"/>
  <c r="Z46" i="1"/>
  <c r="Z53" i="1"/>
  <c r="Z49" i="1"/>
  <c r="Z52" i="1"/>
  <c r="Z48" i="1"/>
  <c r="Z42" i="1"/>
  <c r="Z41" i="1"/>
  <c r="Z45" i="1"/>
  <c r="Z51" i="1"/>
  <c r="Z47" i="1"/>
  <c r="AA54" i="3" l="1"/>
  <c r="AA50" i="3"/>
  <c r="AA46" i="3"/>
  <c r="AA56" i="3"/>
  <c r="AA57" i="3" s="1"/>
  <c r="AA53" i="3"/>
  <c r="AA52" i="3"/>
  <c r="AA51" i="3"/>
  <c r="AA49" i="3"/>
  <c r="AA48" i="3"/>
  <c r="AA47" i="3"/>
  <c r="AA45" i="3"/>
  <c r="AA42" i="3"/>
  <c r="AA41" i="3"/>
  <c r="AB59" i="5"/>
  <c r="AB55" i="5"/>
  <c r="AB50" i="5"/>
  <c r="AB45" i="5"/>
  <c r="AB42" i="5"/>
  <c r="AB53" i="5"/>
  <c r="AB51" i="5"/>
  <c r="AB47" i="5"/>
  <c r="AB61" i="5"/>
  <c r="AB62" i="5" s="1"/>
  <c r="AB57" i="5"/>
  <c r="AB46" i="5"/>
  <c r="AB58" i="5"/>
  <c r="AB54" i="5"/>
  <c r="AB41" i="5"/>
  <c r="AB56" i="5"/>
  <c r="AB52" i="5"/>
  <c r="AA53" i="1"/>
  <c r="AA49" i="1"/>
  <c r="AA45" i="1"/>
  <c r="AA52" i="1"/>
  <c r="AA48" i="1"/>
  <c r="AA51" i="1"/>
  <c r="AA47" i="1"/>
  <c r="AA50" i="1"/>
  <c r="AA46" i="1"/>
  <c r="AA41" i="1"/>
  <c r="AA54" i="1"/>
  <c r="AA42" i="1"/>
  <c r="AA56" i="1"/>
  <c r="AA57" i="1" s="1"/>
  <c r="AB61" i="4"/>
  <c r="AB57" i="4"/>
  <c r="AB53" i="4"/>
  <c r="AB47" i="4"/>
  <c r="AB41" i="4"/>
  <c r="AB56" i="4"/>
  <c r="AB52" i="4"/>
  <c r="AB45" i="4"/>
  <c r="AB58" i="4"/>
  <c r="AB59" i="4"/>
  <c r="AB54" i="4"/>
  <c r="AB42" i="4"/>
  <c r="AB55" i="4"/>
  <c r="AB50" i="4"/>
  <c r="AB46" i="4"/>
  <c r="AB51" i="4"/>
  <c r="AB62" i="4"/>
  <c r="AA61" i="6"/>
  <c r="AA62" i="6" s="1"/>
  <c r="AA59" i="6"/>
  <c r="AA58" i="6"/>
  <c r="AA57" i="6"/>
  <c r="AA56" i="6"/>
  <c r="AA47" i="6"/>
  <c r="AA54" i="6"/>
  <c r="AA46" i="6"/>
  <c r="AA45" i="6"/>
  <c r="AA55" i="6"/>
  <c r="AA52" i="6"/>
  <c r="AA51" i="6"/>
  <c r="AA50" i="6"/>
  <c r="AA53" i="6"/>
  <c r="AA42" i="6"/>
  <c r="AA41" i="6"/>
  <c r="AA51" i="2"/>
  <c r="AA47" i="2"/>
  <c r="AA56" i="2"/>
  <c r="AA57" i="2" s="1"/>
  <c r="AA54" i="2"/>
  <c r="AA50" i="2"/>
  <c r="AA46" i="2"/>
  <c r="AA53" i="2"/>
  <c r="AA49" i="2"/>
  <c r="AA45" i="2"/>
  <c r="AA48" i="2"/>
  <c r="AA41" i="2"/>
  <c r="AA42" i="2"/>
  <c r="AA52" i="2"/>
  <c r="AC61" i="5" l="1"/>
  <c r="AC62" i="5" s="1"/>
  <c r="AC58" i="5"/>
  <c r="AC54" i="5"/>
  <c r="AC57" i="5"/>
  <c r="AC56" i="5"/>
  <c r="AC53" i="5"/>
  <c r="AC52" i="5"/>
  <c r="AC47" i="5"/>
  <c r="AC41" i="5"/>
  <c r="AC51" i="5"/>
  <c r="AC55" i="5"/>
  <c r="AC50" i="5"/>
  <c r="AC46" i="5"/>
  <c r="AC45" i="5"/>
  <c r="AC42" i="5"/>
  <c r="AC59" i="5"/>
  <c r="AB56" i="3"/>
  <c r="AB57" i="3" s="1"/>
  <c r="AB53" i="3"/>
  <c r="AB49" i="3"/>
  <c r="AB45" i="3"/>
  <c r="AB41" i="3"/>
  <c r="AB52" i="3"/>
  <c r="AB51" i="3"/>
  <c r="AB48" i="3"/>
  <c r="AB47" i="3"/>
  <c r="AB42" i="3"/>
  <c r="AB54" i="3"/>
  <c r="AB50" i="3"/>
  <c r="AB46" i="3"/>
  <c r="AC56" i="4"/>
  <c r="AC52" i="4"/>
  <c r="AC45" i="4"/>
  <c r="AC59" i="4"/>
  <c r="AC55" i="4"/>
  <c r="AC51" i="4"/>
  <c r="AC42" i="4"/>
  <c r="AC54" i="4"/>
  <c r="AC47" i="4"/>
  <c r="AC41" i="4"/>
  <c r="AC50" i="4"/>
  <c r="AC46" i="4"/>
  <c r="AC61" i="4"/>
  <c r="AC62" i="4" s="1"/>
  <c r="AC57" i="4"/>
  <c r="AC53" i="4"/>
  <c r="AC58" i="4"/>
  <c r="AB52" i="1"/>
  <c r="AB48" i="1"/>
  <c r="AB42" i="1"/>
  <c r="AB41" i="1"/>
  <c r="AB51" i="1"/>
  <c r="AB47" i="1"/>
  <c r="AB56" i="1"/>
  <c r="AB57" i="1" s="1"/>
  <c r="AB54" i="1"/>
  <c r="AB50" i="1"/>
  <c r="AB46" i="1"/>
  <c r="AB53" i="1"/>
  <c r="AB49" i="1"/>
  <c r="AB45" i="1"/>
  <c r="AB56" i="2"/>
  <c r="AB57" i="2" s="1"/>
  <c r="AB54" i="2"/>
  <c r="AB50" i="2"/>
  <c r="AB46" i="2"/>
  <c r="AB53" i="2"/>
  <c r="AB49" i="2"/>
  <c r="AB45" i="2"/>
  <c r="AB52" i="2"/>
  <c r="AB48" i="2"/>
  <c r="AB42" i="2"/>
  <c r="AB41" i="2"/>
  <c r="AB51" i="2"/>
  <c r="AB47" i="2"/>
  <c r="AB59" i="6"/>
  <c r="AB58" i="6"/>
  <c r="AB57" i="6"/>
  <c r="AB61" i="6"/>
  <c r="AB62" i="6" s="1"/>
  <c r="AB56" i="6"/>
  <c r="AB55" i="6"/>
  <c r="AB54" i="6"/>
  <c r="AB53" i="6"/>
  <c r="AB50" i="6"/>
  <c r="AB47" i="6"/>
  <c r="AB46" i="6"/>
  <c r="AB45" i="6"/>
  <c r="AB42" i="6"/>
  <c r="AB52" i="6"/>
  <c r="AB51" i="6"/>
  <c r="AB41" i="6"/>
  <c r="AC61" i="6" l="1"/>
  <c r="AC62" i="6" s="1"/>
  <c r="AC56" i="6"/>
  <c r="AC55" i="6"/>
  <c r="AC59" i="6"/>
  <c r="AC58" i="6"/>
  <c r="AC53" i="6"/>
  <c r="AC50" i="6"/>
  <c r="AC52" i="6"/>
  <c r="AC51" i="6"/>
  <c r="AC57" i="6"/>
  <c r="AC54" i="6"/>
  <c r="AC46" i="6"/>
  <c r="AC45" i="6"/>
  <c r="AC41" i="6"/>
  <c r="AC47" i="6"/>
  <c r="AC42" i="6"/>
  <c r="AC53" i="2"/>
  <c r="AC49" i="2"/>
  <c r="AC45" i="2"/>
  <c r="AC52" i="2"/>
  <c r="AC48" i="2"/>
  <c r="AC42" i="2"/>
  <c r="AC51" i="2"/>
  <c r="AC47" i="2"/>
  <c r="AC56" i="2"/>
  <c r="AC57" i="2" s="1"/>
  <c r="AC54" i="2"/>
  <c r="AC46" i="2"/>
  <c r="AC41" i="2"/>
  <c r="AC50" i="2"/>
  <c r="AD57" i="5"/>
  <c r="AD53" i="5"/>
  <c r="AD61" i="5"/>
  <c r="AD62" i="5" s="1"/>
  <c r="AD59" i="5"/>
  <c r="AD58" i="5"/>
  <c r="AD55" i="5"/>
  <c r="AD54" i="5"/>
  <c r="AD50" i="5"/>
  <c r="AD47" i="5"/>
  <c r="AD46" i="5"/>
  <c r="AD45" i="5"/>
  <c r="AD42" i="5"/>
  <c r="AD56" i="5"/>
  <c r="AD52" i="5"/>
  <c r="AD41" i="5"/>
  <c r="AD51" i="5"/>
  <c r="AC52" i="3"/>
  <c r="AC48" i="3"/>
  <c r="AC42" i="3"/>
  <c r="AC56" i="3"/>
  <c r="AC57" i="3" s="1"/>
  <c r="AC54" i="3"/>
  <c r="AC53" i="3"/>
  <c r="AC50" i="3"/>
  <c r="AC49" i="3"/>
  <c r="AC46" i="3"/>
  <c r="AC45" i="3"/>
  <c r="AC41" i="3"/>
  <c r="AC51" i="3"/>
  <c r="AC47" i="3"/>
  <c r="AC51" i="1"/>
  <c r="AC47" i="1"/>
  <c r="AC56" i="1"/>
  <c r="AC57" i="1" s="1"/>
  <c r="AC54" i="1"/>
  <c r="AC50" i="1"/>
  <c r="AC46" i="1"/>
  <c r="AC53" i="1"/>
  <c r="AC49" i="1"/>
  <c r="AC45" i="1"/>
  <c r="AC41" i="1"/>
  <c r="AC52" i="1"/>
  <c r="AC42" i="1"/>
  <c r="AC48" i="1"/>
  <c r="AD59" i="4"/>
  <c r="AD55" i="4"/>
  <c r="AD51" i="4"/>
  <c r="AD42" i="4"/>
  <c r="AD58" i="4"/>
  <c r="AD54" i="4"/>
  <c r="AD50" i="4"/>
  <c r="AD46" i="4"/>
  <c r="AD61" i="4"/>
  <c r="AD62" i="4" s="1"/>
  <c r="AD57" i="4"/>
  <c r="AD56" i="4"/>
  <c r="AD53" i="4"/>
  <c r="AD52" i="4"/>
  <c r="AD45" i="4"/>
  <c r="AD41" i="4"/>
  <c r="AD47" i="4"/>
  <c r="AE58" i="4" l="1"/>
  <c r="AE54" i="4"/>
  <c r="AE50" i="4"/>
  <c r="AE46" i="4"/>
  <c r="AE61" i="4"/>
  <c r="AE57" i="4"/>
  <c r="AE53" i="4"/>
  <c r="AE47" i="4"/>
  <c r="AE41" i="4"/>
  <c r="AE59" i="4"/>
  <c r="AE56" i="4"/>
  <c r="AE42" i="4"/>
  <c r="AE55" i="4"/>
  <c r="AE52" i="4"/>
  <c r="AE62" i="4"/>
  <c r="AE51" i="4"/>
  <c r="AE45" i="4"/>
  <c r="AD61" i="6"/>
  <c r="AD62" i="6" s="1"/>
  <c r="AD59" i="6"/>
  <c r="AD55" i="6"/>
  <c r="AD58" i="6"/>
  <c r="AD54" i="6"/>
  <c r="AD57" i="6"/>
  <c r="AD56" i="6"/>
  <c r="AD52" i="6"/>
  <c r="AD51" i="6"/>
  <c r="AD47" i="6"/>
  <c r="AD42" i="6"/>
  <c r="AD41" i="6"/>
  <c r="AD53" i="6"/>
  <c r="AD50" i="6"/>
  <c r="AD46" i="6"/>
  <c r="AD45" i="6"/>
  <c r="AD51" i="3"/>
  <c r="AD47" i="3"/>
  <c r="AD56" i="3"/>
  <c r="AD57" i="3" s="1"/>
  <c r="AD54" i="3"/>
  <c r="AD53" i="3"/>
  <c r="AD52" i="3"/>
  <c r="AD50" i="3"/>
  <c r="AD49" i="3"/>
  <c r="AD48" i="3"/>
  <c r="AD46" i="3"/>
  <c r="AD45" i="3"/>
  <c r="AD42" i="3"/>
  <c r="AD41" i="3"/>
  <c r="AE61" i="5"/>
  <c r="AE62" i="5" s="1"/>
  <c r="AE56" i="5"/>
  <c r="AE52" i="5"/>
  <c r="AE59" i="5"/>
  <c r="AE58" i="5"/>
  <c r="AE51" i="5"/>
  <c r="AE46" i="5"/>
  <c r="AE55" i="5"/>
  <c r="AE53" i="5"/>
  <c r="AE45" i="5"/>
  <c r="AE42" i="5"/>
  <c r="AE57" i="5"/>
  <c r="AE41" i="5"/>
  <c r="AE54" i="5"/>
  <c r="AE50" i="5"/>
  <c r="AE47" i="5"/>
  <c r="AD56" i="1"/>
  <c r="AD57" i="1" s="1"/>
  <c r="AD54" i="1"/>
  <c r="AD50" i="1"/>
  <c r="AD46" i="1"/>
  <c r="AD53" i="1"/>
  <c r="AD49" i="1"/>
  <c r="AD52" i="1"/>
  <c r="AD48" i="1"/>
  <c r="AD42" i="1"/>
  <c r="AD41" i="1"/>
  <c r="AD51" i="1"/>
  <c r="AD47" i="1"/>
  <c r="AD45" i="1"/>
  <c r="AD52" i="2"/>
  <c r="AD48" i="2"/>
  <c r="AD51" i="2"/>
  <c r="AD47" i="2"/>
  <c r="AD56" i="2"/>
  <c r="AD57" i="2" s="1"/>
  <c r="AD54" i="2"/>
  <c r="AD50" i="2"/>
  <c r="AD46" i="2"/>
  <c r="AD49" i="2"/>
  <c r="AD42" i="2"/>
  <c r="AD53" i="2"/>
  <c r="AD45" i="2"/>
  <c r="AD41" i="2"/>
  <c r="AE54" i="3" l="1"/>
  <c r="AE50" i="3"/>
  <c r="AE46" i="3"/>
  <c r="AE56" i="3"/>
  <c r="AE57" i="3" s="1"/>
  <c r="AE53" i="3"/>
  <c r="AE52" i="3"/>
  <c r="AE51" i="3"/>
  <c r="AE49" i="3"/>
  <c r="AE48" i="3"/>
  <c r="AE47" i="3"/>
  <c r="AE45" i="3"/>
  <c r="AE42" i="3"/>
  <c r="AE41" i="3"/>
  <c r="AF61" i="4"/>
  <c r="AF62" i="4" s="1"/>
  <c r="AF57" i="4"/>
  <c r="AF53" i="4"/>
  <c r="AF47" i="4"/>
  <c r="AF41" i="4"/>
  <c r="AF56" i="4"/>
  <c r="AF52" i="4"/>
  <c r="AF45" i="4"/>
  <c r="AF55" i="4"/>
  <c r="AF50" i="4"/>
  <c r="AF46" i="4"/>
  <c r="AF51" i="4"/>
  <c r="AF58" i="4"/>
  <c r="AF54" i="4"/>
  <c r="AF59" i="4"/>
  <c r="AF42" i="4"/>
  <c r="AE51" i="2"/>
  <c r="AE47" i="2"/>
  <c r="AE57" i="2"/>
  <c r="AE56" i="2"/>
  <c r="AE54" i="2"/>
  <c r="AE50" i="2"/>
  <c r="AE46" i="2"/>
  <c r="AE53" i="2"/>
  <c r="AE49" i="2"/>
  <c r="AE45" i="2"/>
  <c r="AE48" i="2"/>
  <c r="AE42" i="2"/>
  <c r="AE52" i="2"/>
  <c r="AE41" i="2"/>
  <c r="AE53" i="1"/>
  <c r="AE49" i="1"/>
  <c r="AE45" i="1"/>
  <c r="AE52" i="1"/>
  <c r="AE48" i="1"/>
  <c r="AE51" i="1"/>
  <c r="AE47" i="1"/>
  <c r="AE46" i="1"/>
  <c r="AE56" i="1"/>
  <c r="AE57" i="1" s="1"/>
  <c r="AE42" i="1"/>
  <c r="AE41" i="1"/>
  <c r="AE54" i="1"/>
  <c r="AE50" i="1"/>
  <c r="AF59" i="5"/>
  <c r="AF55" i="5"/>
  <c r="AF58" i="5"/>
  <c r="AF57" i="5"/>
  <c r="AF61" i="5"/>
  <c r="AF62" i="5"/>
  <c r="AF50" i="5"/>
  <c r="AF45" i="5"/>
  <c r="AF42" i="5"/>
  <c r="AF41" i="5"/>
  <c r="AF56" i="5"/>
  <c r="AF54" i="5"/>
  <c r="AF52" i="5"/>
  <c r="AF51" i="5"/>
  <c r="AF47" i="5"/>
  <c r="AF53" i="5"/>
  <c r="AF46" i="5"/>
  <c r="AE61" i="6"/>
  <c r="AE62" i="6" s="1"/>
  <c r="AE59" i="6"/>
  <c r="AE58" i="6"/>
  <c r="AE54" i="6"/>
  <c r="AE57" i="6"/>
  <c r="AE56" i="6"/>
  <c r="AE47" i="6"/>
  <c r="AE46" i="6"/>
  <c r="AE45" i="6"/>
  <c r="AE52" i="6"/>
  <c r="AE55" i="6"/>
  <c r="AE53" i="6"/>
  <c r="AE51" i="6"/>
  <c r="AE42" i="6"/>
  <c r="AE41" i="6"/>
  <c r="AE50" i="6"/>
  <c r="AF52" i="1" l="1"/>
  <c r="AF48" i="1"/>
  <c r="AF42" i="1"/>
  <c r="AF41" i="1"/>
  <c r="AF51" i="1"/>
  <c r="AF47" i="1"/>
  <c r="AF56" i="1"/>
  <c r="AF57" i="1" s="1"/>
  <c r="AF54" i="1"/>
  <c r="AF50" i="1"/>
  <c r="AF46" i="1"/>
  <c r="AF49" i="1"/>
  <c r="AF45" i="1"/>
  <c r="AF53" i="1"/>
  <c r="AF56" i="2"/>
  <c r="AF57" i="2" s="1"/>
  <c r="AF54" i="2"/>
  <c r="AF50" i="2"/>
  <c r="AF46" i="2"/>
  <c r="AF53" i="2"/>
  <c r="AF49" i="2"/>
  <c r="AF45" i="2"/>
  <c r="AF52" i="2"/>
  <c r="AF48" i="2"/>
  <c r="AF42" i="2"/>
  <c r="AF41" i="2"/>
  <c r="AF47" i="2"/>
  <c r="AF51" i="2"/>
  <c r="AG56" i="4"/>
  <c r="AG52" i="4"/>
  <c r="AG45" i="4"/>
  <c r="AG59" i="4"/>
  <c r="AG55" i="4"/>
  <c r="AG51" i="4"/>
  <c r="AG42" i="4"/>
  <c r="AG61" i="4"/>
  <c r="AG62" i="4" s="1"/>
  <c r="AG57" i="4"/>
  <c r="AG58" i="4"/>
  <c r="AG53" i="4"/>
  <c r="AG54" i="4"/>
  <c r="AG47" i="4"/>
  <c r="AG41" i="4"/>
  <c r="AG50" i="4"/>
  <c r="AG46" i="4"/>
  <c r="AF61" i="6"/>
  <c r="AF62" i="6" s="1"/>
  <c r="AF58" i="6"/>
  <c r="AF57" i="6"/>
  <c r="AF59" i="6"/>
  <c r="AF56" i="6"/>
  <c r="AF55" i="6"/>
  <c r="AF46" i="6"/>
  <c r="AF53" i="6"/>
  <c r="AF50" i="6"/>
  <c r="AF54" i="6"/>
  <c r="AF52" i="6"/>
  <c r="AF51" i="6"/>
  <c r="AF42" i="6"/>
  <c r="AF41" i="6"/>
  <c r="AF47" i="6"/>
  <c r="AF45" i="6"/>
  <c r="AF56" i="3"/>
  <c r="AF57" i="3" s="1"/>
  <c r="AF53" i="3"/>
  <c r="AF49" i="3"/>
  <c r="AF45" i="3"/>
  <c r="AF41" i="3"/>
  <c r="AF52" i="3"/>
  <c r="AF51" i="3"/>
  <c r="AF48" i="3"/>
  <c r="AF47" i="3"/>
  <c r="AF42" i="3"/>
  <c r="AF54" i="3"/>
  <c r="AF50" i="3"/>
  <c r="AF46" i="3"/>
  <c r="AG62" i="5"/>
  <c r="AG58" i="5"/>
  <c r="AG54" i="5"/>
  <c r="AG61" i="5"/>
  <c r="AG59" i="5"/>
  <c r="AG47" i="5"/>
  <c r="AG41" i="5"/>
  <c r="AG57" i="5"/>
  <c r="AG56" i="5"/>
  <c r="AG52" i="5"/>
  <c r="AG51" i="5"/>
  <c r="AG53" i="5"/>
  <c r="AG50" i="5"/>
  <c r="AG46" i="5"/>
  <c r="AG45" i="5"/>
  <c r="AG42" i="5"/>
  <c r="AG55" i="5"/>
  <c r="AG52" i="3" l="1"/>
  <c r="AG48" i="3"/>
  <c r="AG42" i="3"/>
  <c r="AG51" i="3"/>
  <c r="AG47" i="3"/>
  <c r="AG56" i="3"/>
  <c r="AG57" i="3" s="1"/>
  <c r="AG54" i="3"/>
  <c r="AG53" i="3"/>
  <c r="AG50" i="3"/>
  <c r="AG49" i="3"/>
  <c r="AG46" i="3"/>
  <c r="AG45" i="3"/>
  <c r="AG41" i="3"/>
  <c r="AG62" i="6"/>
  <c r="AG59" i="6"/>
  <c r="AG56" i="6"/>
  <c r="AG55" i="6"/>
  <c r="AG61" i="6"/>
  <c r="AG58" i="6"/>
  <c r="AG53" i="6"/>
  <c r="AG50" i="6"/>
  <c r="AG54" i="6"/>
  <c r="AG52" i="6"/>
  <c r="AG51" i="6"/>
  <c r="AG57" i="6"/>
  <c r="AG47" i="6"/>
  <c r="AG45" i="6"/>
  <c r="AG42" i="6"/>
  <c r="AG46" i="6"/>
  <c r="AG41" i="6"/>
  <c r="AH59" i="4"/>
  <c r="AH55" i="4"/>
  <c r="AH51" i="4"/>
  <c r="AH42" i="4"/>
  <c r="AH58" i="4"/>
  <c r="AH54" i="4"/>
  <c r="AH50" i="4"/>
  <c r="AH46" i="4"/>
  <c r="AH53" i="4"/>
  <c r="AH52" i="4"/>
  <c r="AH47" i="4"/>
  <c r="AH45" i="4"/>
  <c r="AH41" i="4"/>
  <c r="AH56" i="4"/>
  <c r="AH61" i="4"/>
  <c r="AH62" i="4" s="1"/>
  <c r="AH57" i="4"/>
  <c r="AH62" i="5"/>
  <c r="AH61" i="5"/>
  <c r="AH57" i="5"/>
  <c r="AH53" i="5"/>
  <c r="AH56" i="5"/>
  <c r="AH52" i="5"/>
  <c r="AH54" i="5"/>
  <c r="AH51" i="5"/>
  <c r="AH50" i="5"/>
  <c r="AH47" i="5"/>
  <c r="AH46" i="5"/>
  <c r="AH59" i="5"/>
  <c r="AH58" i="5"/>
  <c r="AH55" i="5"/>
  <c r="AH45" i="5"/>
  <c r="AH42" i="5"/>
  <c r="AH41" i="5"/>
  <c r="AG53" i="2"/>
  <c r="AG49" i="2"/>
  <c r="AG45" i="2"/>
  <c r="AG52" i="2"/>
  <c r="AG48" i="2"/>
  <c r="AG42" i="2"/>
  <c r="AG51" i="2"/>
  <c r="AG47" i="2"/>
  <c r="AG50" i="2"/>
  <c r="AG41" i="2"/>
  <c r="AG54" i="2"/>
  <c r="AG46" i="2"/>
  <c r="AG56" i="2"/>
  <c r="AG57" i="2"/>
  <c r="AG51" i="1"/>
  <c r="AG47" i="1"/>
  <c r="AG56" i="1"/>
  <c r="AG57" i="1" s="1"/>
  <c r="AG54" i="1"/>
  <c r="AG50" i="1"/>
  <c r="AG46" i="1"/>
  <c r="AG53" i="1"/>
  <c r="AG49" i="1"/>
  <c r="AG45" i="1"/>
  <c r="AG42" i="1"/>
  <c r="AG52" i="1"/>
  <c r="AG48" i="1"/>
  <c r="AG41" i="1"/>
  <c r="AH61" i="6" l="1"/>
  <c r="AH62" i="6" s="1"/>
  <c r="AH59" i="6"/>
  <c r="AH55" i="6"/>
  <c r="AH58" i="6"/>
  <c r="AH54" i="6"/>
  <c r="AH57" i="6"/>
  <c r="AH52" i="6"/>
  <c r="AH51" i="6"/>
  <c r="AH47" i="6"/>
  <c r="AH42" i="6"/>
  <c r="AH41" i="6"/>
  <c r="AH56" i="6"/>
  <c r="AH53" i="6"/>
  <c r="AH45" i="6"/>
  <c r="AH46" i="6"/>
  <c r="AH50" i="6"/>
  <c r="AH51" i="3"/>
  <c r="AH47" i="3"/>
  <c r="AH56" i="3"/>
  <c r="AH57" i="3" s="1"/>
  <c r="AH54" i="3"/>
  <c r="AH53" i="3"/>
  <c r="AH52" i="3"/>
  <c r="AH50" i="3"/>
  <c r="AH49" i="3"/>
  <c r="AH48" i="3"/>
  <c r="AH46" i="3"/>
  <c r="AH45" i="3"/>
  <c r="AH42" i="3"/>
  <c r="AH41" i="3"/>
  <c r="AH56" i="1"/>
  <c r="AH57" i="1" s="1"/>
  <c r="AH54" i="1"/>
  <c r="AH50" i="1"/>
  <c r="AH46" i="1"/>
  <c r="AH53" i="1"/>
  <c r="AH49" i="1"/>
  <c r="AH52" i="1"/>
  <c r="AH48" i="1"/>
  <c r="AH42" i="1"/>
  <c r="AH41" i="1"/>
  <c r="AH47" i="1"/>
  <c r="AH45" i="1"/>
  <c r="AH51" i="1"/>
  <c r="AH52" i="2"/>
  <c r="AH48" i="2"/>
  <c r="AH51" i="2"/>
  <c r="AH47" i="2"/>
  <c r="AH56" i="2"/>
  <c r="AH57" i="2" s="1"/>
  <c r="AH54" i="2"/>
  <c r="AH50" i="2"/>
  <c r="AH46" i="2"/>
  <c r="AH49" i="2"/>
  <c r="AH42" i="2"/>
  <c r="AH41" i="2"/>
  <c r="AH53" i="2"/>
  <c r="AH45" i="2"/>
  <c r="AI61" i="5"/>
  <c r="AI56" i="5"/>
  <c r="AI52" i="5"/>
  <c r="AI62" i="5"/>
  <c r="AI59" i="5"/>
  <c r="AI58" i="5"/>
  <c r="AI57" i="5"/>
  <c r="AI55" i="5"/>
  <c r="AI54" i="5"/>
  <c r="AI53" i="5"/>
  <c r="AI51" i="5"/>
  <c r="AI46" i="5"/>
  <c r="AI50" i="5"/>
  <c r="AI47" i="5"/>
  <c r="AI45" i="5"/>
  <c r="AI42" i="5"/>
  <c r="AI41" i="5"/>
  <c r="AI58" i="4"/>
  <c r="AI54" i="4"/>
  <c r="AI50" i="4"/>
  <c r="AI46" i="4"/>
  <c r="AI61" i="4"/>
  <c r="AI62" i="4" s="1"/>
  <c r="AI57" i="4"/>
  <c r="AI53" i="4"/>
  <c r="AI47" i="4"/>
  <c r="AI41" i="4"/>
  <c r="AI51" i="4"/>
  <c r="AI45" i="4"/>
  <c r="AI59" i="4"/>
  <c r="AI56" i="4"/>
  <c r="AI42" i="4"/>
  <c r="AI52" i="4"/>
  <c r="AI55" i="4"/>
  <c r="AI53" i="1" l="1"/>
  <c r="AI49" i="1"/>
  <c r="AI45" i="1"/>
  <c r="AI52" i="1"/>
  <c r="AI48" i="1"/>
  <c r="AI51" i="1"/>
  <c r="AI47" i="1"/>
  <c r="AI56" i="1"/>
  <c r="AI57" i="1" s="1"/>
  <c r="AI54" i="1"/>
  <c r="AI41" i="1"/>
  <c r="AI42" i="1"/>
  <c r="AI50" i="1"/>
  <c r="AI46" i="1"/>
  <c r="AI51" i="2"/>
  <c r="AI47" i="2"/>
  <c r="AI56" i="2"/>
  <c r="AI57" i="2" s="1"/>
  <c r="AI54" i="2"/>
  <c r="AI50" i="2"/>
  <c r="AI46" i="2"/>
  <c r="AI53" i="2"/>
  <c r="AI49" i="2"/>
  <c r="AI45" i="2"/>
  <c r="AI52" i="2"/>
  <c r="AI42" i="2"/>
  <c r="AI48" i="2"/>
  <c r="AI41" i="2"/>
  <c r="AI61" i="6"/>
  <c r="AI62" i="6" s="1"/>
  <c r="AI59" i="6"/>
  <c r="AI58" i="6"/>
  <c r="AI54" i="6"/>
  <c r="AI57" i="6"/>
  <c r="AI56" i="6"/>
  <c r="AI47" i="6"/>
  <c r="AI55" i="6"/>
  <c r="AI46" i="6"/>
  <c r="AI45" i="6"/>
  <c r="AI52" i="6"/>
  <c r="AI51" i="6"/>
  <c r="AI53" i="6"/>
  <c r="AI50" i="6"/>
  <c r="AI41" i="6"/>
  <c r="AI42" i="6"/>
  <c r="AJ61" i="4"/>
  <c r="AJ62" i="4" s="1"/>
  <c r="AJ57" i="4"/>
  <c r="AJ53" i="4"/>
  <c r="AJ47" i="4"/>
  <c r="AJ41" i="4"/>
  <c r="AJ56" i="4"/>
  <c r="AJ52" i="4"/>
  <c r="AJ45" i="4"/>
  <c r="AJ58" i="4"/>
  <c r="AJ59" i="4"/>
  <c r="AJ54" i="4"/>
  <c r="AJ42" i="4"/>
  <c r="AJ55" i="4"/>
  <c r="AJ50" i="4"/>
  <c r="AJ46" i="4"/>
  <c r="AJ51" i="4"/>
  <c r="AJ59" i="5"/>
  <c r="AJ55" i="5"/>
  <c r="AJ62" i="5"/>
  <c r="AJ58" i="5"/>
  <c r="AJ50" i="5"/>
  <c r="AJ45" i="5"/>
  <c r="AJ42" i="5"/>
  <c r="AJ46" i="5"/>
  <c r="AJ61" i="5"/>
  <c r="AJ53" i="5"/>
  <c r="AJ41" i="5"/>
  <c r="AJ54" i="5"/>
  <c r="AJ57" i="5"/>
  <c r="AJ51" i="5"/>
  <c r="AJ47" i="5"/>
  <c r="AJ56" i="5"/>
  <c r="AJ52" i="5"/>
  <c r="AI54" i="3"/>
  <c r="AI50" i="3"/>
  <c r="AI46" i="3"/>
  <c r="AI49" i="3"/>
  <c r="AI48" i="3"/>
  <c r="AI47" i="3"/>
  <c r="AI45" i="3"/>
  <c r="AI42" i="3"/>
  <c r="AI41" i="3"/>
  <c r="AI56" i="3"/>
  <c r="AI57" i="3" s="1"/>
  <c r="AI53" i="3"/>
  <c r="AI52" i="3"/>
  <c r="AI51" i="3"/>
  <c r="AJ52" i="1" l="1"/>
  <c r="AJ48" i="1"/>
  <c r="AJ42" i="1"/>
  <c r="AJ41" i="1"/>
  <c r="AJ51" i="1"/>
  <c r="AJ47" i="1"/>
  <c r="AJ56" i="1"/>
  <c r="AJ57" i="1" s="1"/>
  <c r="AJ54" i="1"/>
  <c r="AJ50" i="1"/>
  <c r="AJ46" i="1"/>
  <c r="AJ53" i="1"/>
  <c r="AJ49" i="1"/>
  <c r="AJ45" i="1"/>
  <c r="AJ56" i="3"/>
  <c r="AJ57" i="3" s="1"/>
  <c r="AJ53" i="3"/>
  <c r="AJ49" i="3"/>
  <c r="AJ45" i="3"/>
  <c r="AJ41" i="3"/>
  <c r="AJ52" i="3"/>
  <c r="AJ51" i="3"/>
  <c r="AJ48" i="3"/>
  <c r="AJ47" i="3"/>
  <c r="AJ42" i="3"/>
  <c r="AJ50" i="3"/>
  <c r="AJ46" i="3"/>
  <c r="AJ54" i="3"/>
  <c r="AK58" i="5"/>
  <c r="AK54" i="5"/>
  <c r="AK57" i="5"/>
  <c r="AK59" i="5"/>
  <c r="AK61" i="5"/>
  <c r="AK47" i="5"/>
  <c r="AK41" i="5"/>
  <c r="AK62" i="5"/>
  <c r="AK53" i="5"/>
  <c r="AK45" i="5"/>
  <c r="AK42" i="5"/>
  <c r="AK55" i="5"/>
  <c r="AK56" i="5"/>
  <c r="AK52" i="5"/>
  <c r="AK51" i="5"/>
  <c r="AK50" i="5"/>
  <c r="AK46" i="5"/>
  <c r="AJ62" i="6"/>
  <c r="AJ59" i="6"/>
  <c r="AJ58" i="6"/>
  <c r="AJ57" i="6"/>
  <c r="AJ61" i="6"/>
  <c r="AJ56" i="6"/>
  <c r="AJ55" i="6"/>
  <c r="AJ54" i="6"/>
  <c r="AJ46" i="6"/>
  <c r="AJ53" i="6"/>
  <c r="AJ50" i="6"/>
  <c r="AJ52" i="6"/>
  <c r="AJ47" i="6"/>
  <c r="AJ51" i="6"/>
  <c r="AJ45" i="6"/>
  <c r="AJ42" i="6"/>
  <c r="AJ41" i="6"/>
  <c r="AJ56" i="2"/>
  <c r="AJ57" i="2" s="1"/>
  <c r="AJ54" i="2"/>
  <c r="AJ50" i="2"/>
  <c r="AJ46" i="2"/>
  <c r="AJ53" i="2"/>
  <c r="AJ49" i="2"/>
  <c r="AJ45" i="2"/>
  <c r="AJ52" i="2"/>
  <c r="AJ48" i="2"/>
  <c r="AJ42" i="2"/>
  <c r="AJ41" i="2"/>
  <c r="AJ47" i="2"/>
  <c r="AJ51" i="2"/>
  <c r="AK56" i="4"/>
  <c r="AK52" i="4"/>
  <c r="AK45" i="4"/>
  <c r="AK62" i="4"/>
  <c r="AK59" i="4"/>
  <c r="AK55" i="4"/>
  <c r="AK51" i="4"/>
  <c r="AK42" i="4"/>
  <c r="AK54" i="4"/>
  <c r="AK47" i="4"/>
  <c r="AK41" i="4"/>
  <c r="AK50" i="4"/>
  <c r="AK46" i="4"/>
  <c r="AK61" i="4"/>
  <c r="AK57" i="4"/>
  <c r="AK53" i="4"/>
  <c r="AK58" i="4"/>
  <c r="AK61" i="6" l="1"/>
  <c r="AK56" i="6"/>
  <c r="Q32" i="6" s="1" a="1"/>
  <c r="Q32" i="6" s="1"/>
  <c r="AK55" i="6"/>
  <c r="R32" i="6" s="1" a="1"/>
  <c r="R32" i="6" s="1"/>
  <c r="AK62" i="6"/>
  <c r="AK59" i="6"/>
  <c r="N32" i="6" s="1" a="1"/>
  <c r="N32" i="6" s="1"/>
  <c r="AK58" i="6"/>
  <c r="O32" i="6" s="1" a="1"/>
  <c r="O32" i="6" s="1"/>
  <c r="AK53" i="6"/>
  <c r="T32" i="6" s="1" a="1"/>
  <c r="T32" i="6" s="1"/>
  <c r="AK50" i="6"/>
  <c r="W32" i="6" s="1" a="1"/>
  <c r="W32" i="6" s="1"/>
  <c r="AK57" i="6"/>
  <c r="P32" i="6" s="1" a="1"/>
  <c r="P32" i="6" s="1"/>
  <c r="AK52" i="6"/>
  <c r="U32" i="6" s="1" a="1"/>
  <c r="U32" i="6" s="1"/>
  <c r="AK51" i="6"/>
  <c r="V32" i="6" s="1" a="1"/>
  <c r="V32" i="6" s="1"/>
  <c r="AK54" i="6"/>
  <c r="S32" i="6" s="1" a="1"/>
  <c r="S32" i="6" s="1"/>
  <c r="AK46" i="6"/>
  <c r="Y32" i="6" s="1" a="1"/>
  <c r="Y32" i="6" s="1"/>
  <c r="AK47" i="6"/>
  <c r="X32" i="6" s="1" a="1"/>
  <c r="X32" i="6" s="1"/>
  <c r="AK45" i="6"/>
  <c r="Z32" i="6" s="1" a="1"/>
  <c r="Z32" i="6" s="1"/>
  <c r="AK42" i="6"/>
  <c r="AA30" i="6" s="1" a="1"/>
  <c r="AA30" i="6" s="1"/>
  <c r="AK41" i="6"/>
  <c r="AK52" i="3"/>
  <c r="AK48" i="3"/>
  <c r="AK42" i="3"/>
  <c r="AK51" i="3"/>
  <c r="AK47" i="3"/>
  <c r="AK56" i="3"/>
  <c r="AK57" i="3" s="1"/>
  <c r="AK54" i="3"/>
  <c r="AK53" i="3"/>
  <c r="AK50" i="3"/>
  <c r="AK49" i="3"/>
  <c r="AK46" i="3"/>
  <c r="AK45" i="3"/>
  <c r="AK41" i="3"/>
  <c r="AL62" i="5"/>
  <c r="AL57" i="5"/>
  <c r="AL53" i="5"/>
  <c r="AL59" i="5"/>
  <c r="AL58" i="5"/>
  <c r="AL61" i="5"/>
  <c r="AL55" i="5"/>
  <c r="AL41" i="5"/>
  <c r="AL56" i="5"/>
  <c r="AL52" i="5"/>
  <c r="AL51" i="5"/>
  <c r="AL54" i="5"/>
  <c r="AL50" i="5"/>
  <c r="AL47" i="5"/>
  <c r="AL46" i="5"/>
  <c r="AL42" i="5"/>
  <c r="AL45" i="5"/>
  <c r="AK51" i="1"/>
  <c r="AK47" i="1"/>
  <c r="AK56" i="1"/>
  <c r="AK57" i="1" s="1"/>
  <c r="AK54" i="1"/>
  <c r="AK50" i="1"/>
  <c r="AK46" i="1"/>
  <c r="AK53" i="1"/>
  <c r="AK49" i="1"/>
  <c r="AK45" i="1"/>
  <c r="AK52" i="1"/>
  <c r="AK41" i="1"/>
  <c r="AK48" i="1"/>
  <c r="AK42" i="1"/>
  <c r="AL62" i="4"/>
  <c r="AL59" i="4"/>
  <c r="AL55" i="4"/>
  <c r="AL51" i="4"/>
  <c r="AL42" i="4"/>
  <c r="AL58" i="4"/>
  <c r="AL54" i="4"/>
  <c r="AL50" i="4"/>
  <c r="AL46" i="4"/>
  <c r="AL61" i="4"/>
  <c r="AL57" i="4"/>
  <c r="AL56" i="4"/>
  <c r="AL53" i="4"/>
  <c r="AL52" i="4"/>
  <c r="AL47" i="4"/>
  <c r="AL41" i="4"/>
  <c r="AL45" i="4"/>
  <c r="AK53" i="2"/>
  <c r="AK49" i="2"/>
  <c r="AK45" i="2"/>
  <c r="AK52" i="2"/>
  <c r="AK48" i="2"/>
  <c r="AK42" i="2"/>
  <c r="AK41" i="2"/>
  <c r="AK51" i="2"/>
  <c r="AK47" i="2"/>
  <c r="AK50" i="2"/>
  <c r="AK56" i="2"/>
  <c r="AK57" i="2" s="1"/>
  <c r="AK54" i="2"/>
  <c r="AK46" i="2"/>
  <c r="AM58" i="4" l="1"/>
  <c r="AM54" i="4"/>
  <c r="AM50" i="4"/>
  <c r="AM46" i="4"/>
  <c r="AM61" i="4"/>
  <c r="AM57" i="4"/>
  <c r="AM53" i="4"/>
  <c r="AM47" i="4"/>
  <c r="AM41" i="4"/>
  <c r="AM59" i="4"/>
  <c r="AM56" i="4"/>
  <c r="AM42" i="4"/>
  <c r="AM55" i="4"/>
  <c r="AM52" i="4"/>
  <c r="AM62" i="4"/>
  <c r="AM51" i="4"/>
  <c r="AM45" i="4"/>
  <c r="AL51" i="3"/>
  <c r="AL47" i="3"/>
  <c r="AL56" i="3"/>
  <c r="AL57" i="3" s="1"/>
  <c r="AL54" i="3"/>
  <c r="AL53" i="3"/>
  <c r="AL52" i="3"/>
  <c r="AL50" i="3"/>
  <c r="AL49" i="3"/>
  <c r="AL48" i="3"/>
  <c r="AL46" i="3"/>
  <c r="AL45" i="3"/>
  <c r="AL42" i="3"/>
  <c r="AL41" i="3"/>
  <c r="AX29" i="7"/>
  <c r="Z30" i="6"/>
  <c r="AL52" i="2"/>
  <c r="AL48" i="2"/>
  <c r="AL51" i="2"/>
  <c r="AL47" i="2"/>
  <c r="AL56" i="2"/>
  <c r="AL57" i="2" s="1"/>
  <c r="AL54" i="2"/>
  <c r="AL50" i="2"/>
  <c r="AL46" i="2"/>
  <c r="AL53" i="2"/>
  <c r="AL45" i="2"/>
  <c r="AL42" i="2"/>
  <c r="AL41" i="2"/>
  <c r="AL49" i="2"/>
  <c r="AL56" i="1"/>
  <c r="AL57" i="1" s="1"/>
  <c r="AL54" i="1"/>
  <c r="AL50" i="1"/>
  <c r="AL46" i="1"/>
  <c r="AL53" i="1"/>
  <c r="AL49" i="1"/>
  <c r="AL52" i="1"/>
  <c r="AL48" i="1"/>
  <c r="AL42" i="1"/>
  <c r="AL41" i="1"/>
  <c r="AL51" i="1"/>
  <c r="AL45" i="1"/>
  <c r="AL47" i="1"/>
  <c r="AM61" i="5"/>
  <c r="AM62" i="5"/>
  <c r="AM56" i="5"/>
  <c r="Q32" i="5" s="1" a="1"/>
  <c r="Q32" i="5" s="1"/>
  <c r="AM52" i="5"/>
  <c r="U32" i="5" s="1" a="1"/>
  <c r="U32" i="5" s="1"/>
  <c r="AM51" i="5"/>
  <c r="V32" i="5" s="1" a="1"/>
  <c r="V32" i="5" s="1"/>
  <c r="AM46" i="5"/>
  <c r="Y32" i="5" s="1" a="1"/>
  <c r="Y32" i="5" s="1"/>
  <c r="AM59" i="5"/>
  <c r="N32" i="5" s="1" a="1"/>
  <c r="N32" i="5" s="1"/>
  <c r="AM58" i="5"/>
  <c r="O32" i="5" s="1" a="1"/>
  <c r="O32" i="5" s="1"/>
  <c r="AM54" i="5"/>
  <c r="S32" i="5" s="1" a="1"/>
  <c r="S32" i="5" s="1"/>
  <c r="AM50" i="5"/>
  <c r="W32" i="5" s="1" a="1"/>
  <c r="W32" i="5" s="1"/>
  <c r="AM47" i="5"/>
  <c r="X32" i="5" s="1" a="1"/>
  <c r="X32" i="5" s="1"/>
  <c r="AM57" i="5"/>
  <c r="P32" i="5" s="1" a="1"/>
  <c r="P32" i="5" s="1"/>
  <c r="AM45" i="5"/>
  <c r="Z32" i="5" s="1" a="1"/>
  <c r="Z32" i="5" s="1"/>
  <c r="AM42" i="5"/>
  <c r="AA30" i="5" s="1" a="1"/>
  <c r="AA30" i="5" s="1"/>
  <c r="AM55" i="5"/>
  <c r="R32" i="5" s="1" a="1"/>
  <c r="R32" i="5" s="1"/>
  <c r="AM41" i="5"/>
  <c r="AM53" i="5"/>
  <c r="T32" i="5" s="1" a="1"/>
  <c r="T32" i="5" s="1"/>
  <c r="AW29" i="7" l="1"/>
  <c r="Y30" i="6"/>
  <c r="AN61" i="4"/>
  <c r="AN57" i="4"/>
  <c r="AN53" i="4"/>
  <c r="AN47" i="4"/>
  <c r="AN41" i="4"/>
  <c r="AN56" i="4"/>
  <c r="AN52" i="4"/>
  <c r="AN45" i="4"/>
  <c r="AN55" i="4"/>
  <c r="AN50" i="4"/>
  <c r="AN46" i="4"/>
  <c r="AN62" i="4"/>
  <c r="AN51" i="4"/>
  <c r="AN58" i="4"/>
  <c r="AN54" i="4"/>
  <c r="AN59" i="4"/>
  <c r="AN42" i="4"/>
  <c r="AS28" i="7"/>
  <c r="Z30" i="5"/>
  <c r="AM53" i="1"/>
  <c r="AM49" i="1"/>
  <c r="AM45" i="1"/>
  <c r="AM52" i="1"/>
  <c r="AM48" i="1"/>
  <c r="AM51" i="1"/>
  <c r="AM47" i="1"/>
  <c r="AM54" i="1"/>
  <c r="AM50" i="1"/>
  <c r="AM42" i="1"/>
  <c r="AM41" i="1"/>
  <c r="AM46" i="1"/>
  <c r="AM56" i="1"/>
  <c r="AM57" i="1" s="1"/>
  <c r="AM51" i="2"/>
  <c r="AM47" i="2"/>
  <c r="AM56" i="2"/>
  <c r="AM57" i="2" s="1"/>
  <c r="AM54" i="2"/>
  <c r="AM50" i="2"/>
  <c r="AM46" i="2"/>
  <c r="AM53" i="2"/>
  <c r="AM49" i="2"/>
  <c r="AM45" i="2"/>
  <c r="AM52" i="2"/>
  <c r="AM42" i="2"/>
  <c r="AM41" i="2"/>
  <c r="AM48" i="2"/>
  <c r="AM54" i="3"/>
  <c r="AM50" i="3"/>
  <c r="AM46" i="3"/>
  <c r="AM57" i="3"/>
  <c r="AM56" i="3"/>
  <c r="AM53" i="3"/>
  <c r="AM52" i="3"/>
  <c r="AM51" i="3"/>
  <c r="AM49" i="3"/>
  <c r="AM48" i="3"/>
  <c r="AM47" i="3"/>
  <c r="AM45" i="3"/>
  <c r="AM42" i="3"/>
  <c r="AM41" i="3"/>
  <c r="AN52" i="1" l="1"/>
  <c r="AN48" i="1"/>
  <c r="AN42" i="1"/>
  <c r="AN41" i="1"/>
  <c r="AN51" i="1"/>
  <c r="AN47" i="1"/>
  <c r="AN56" i="1"/>
  <c r="AN57" i="1" s="1"/>
  <c r="AN54" i="1"/>
  <c r="AN50" i="1"/>
  <c r="AN46" i="1"/>
  <c r="AN53" i="1"/>
  <c r="AN45" i="1"/>
  <c r="AN49" i="1"/>
  <c r="AO56" i="4"/>
  <c r="AO52" i="4"/>
  <c r="AO45" i="4"/>
  <c r="AO62" i="4"/>
  <c r="AO59" i="4"/>
  <c r="AO55" i="4"/>
  <c r="AO51" i="4"/>
  <c r="AO42" i="4"/>
  <c r="AO61" i="4"/>
  <c r="AO57" i="4"/>
  <c r="AO58" i="4"/>
  <c r="AO53" i="4"/>
  <c r="AO54" i="4"/>
  <c r="AO47" i="4"/>
  <c r="AO41" i="4"/>
  <c r="AO50" i="4"/>
  <c r="AO46" i="4"/>
  <c r="AN56" i="2"/>
  <c r="AN57" i="2" s="1"/>
  <c r="AN54" i="2"/>
  <c r="AN50" i="2"/>
  <c r="AN46" i="2"/>
  <c r="AN53" i="2"/>
  <c r="AN49" i="2"/>
  <c r="AN45" i="2"/>
  <c r="AN52" i="2"/>
  <c r="AN48" i="2"/>
  <c r="AN42" i="2"/>
  <c r="AN41" i="2"/>
  <c r="AN51" i="2"/>
  <c r="AN47" i="2"/>
  <c r="AN56" i="3"/>
  <c r="AN53" i="3"/>
  <c r="AN49" i="3"/>
  <c r="AN45" i="3"/>
  <c r="AN41" i="3"/>
  <c r="AN54" i="3"/>
  <c r="AN50" i="3"/>
  <c r="AN46" i="3"/>
  <c r="AN42" i="3"/>
  <c r="AN57" i="3"/>
  <c r="AN52" i="3"/>
  <c r="AN51" i="3"/>
  <c r="AN47" i="3"/>
  <c r="AN48" i="3"/>
  <c r="AR28" i="7"/>
  <c r="Y30" i="5"/>
  <c r="AV29" i="7"/>
  <c r="X30" i="6"/>
  <c r="AO53" i="2" l="1"/>
  <c r="AO49" i="2"/>
  <c r="AO45" i="2"/>
  <c r="AO52" i="2"/>
  <c r="AO48" i="2"/>
  <c r="AO42" i="2"/>
  <c r="AO41" i="2"/>
  <c r="AO51" i="2"/>
  <c r="AO47" i="2"/>
  <c r="AO56" i="2"/>
  <c r="AO57" i="2" s="1"/>
  <c r="AO54" i="2"/>
  <c r="AO46" i="2"/>
  <c r="AO50" i="2"/>
  <c r="AO51" i="1"/>
  <c r="AO47" i="1"/>
  <c r="AO56" i="1"/>
  <c r="AO57" i="1" s="1"/>
  <c r="AO54" i="1"/>
  <c r="AO50" i="1"/>
  <c r="AO46" i="1"/>
  <c r="AO53" i="1"/>
  <c r="AO49" i="1"/>
  <c r="AO45" i="1"/>
  <c r="AO48" i="1"/>
  <c r="AO42" i="1"/>
  <c r="AO52" i="1"/>
  <c r="AO41" i="1"/>
  <c r="AU29" i="7"/>
  <c r="W30" i="6"/>
  <c r="AP62" i="4"/>
  <c r="AP59" i="4"/>
  <c r="AP55" i="4"/>
  <c r="AP51" i="4"/>
  <c r="AP42" i="4"/>
  <c r="AP58" i="4"/>
  <c r="AP54" i="4"/>
  <c r="AP50" i="4"/>
  <c r="AP46" i="4"/>
  <c r="AP53" i="4"/>
  <c r="AP52" i="4"/>
  <c r="AP47" i="4"/>
  <c r="AP45" i="4"/>
  <c r="AP41" i="4"/>
  <c r="AP61" i="4"/>
  <c r="AP57" i="4"/>
  <c r="AP56" i="4"/>
  <c r="AO57" i="3"/>
  <c r="AO52" i="3"/>
  <c r="AO48" i="3"/>
  <c r="AO42" i="3"/>
  <c r="AO51" i="3"/>
  <c r="AO47" i="3"/>
  <c r="AO46" i="3"/>
  <c r="AO45" i="3"/>
  <c r="AO41" i="3"/>
  <c r="AO56" i="3"/>
  <c r="AO54" i="3"/>
  <c r="AO53" i="3"/>
  <c r="AO50" i="3"/>
  <c r="AO49" i="3"/>
  <c r="AQ28" i="7"/>
  <c r="X30" i="5"/>
  <c r="AT29" i="7" l="1"/>
  <c r="V30" i="6"/>
  <c r="W35" i="6"/>
  <c r="AT56" i="7" s="1"/>
  <c r="AP28" i="7"/>
  <c r="W30" i="5"/>
  <c r="AQ58" i="4"/>
  <c r="AQ54" i="4"/>
  <c r="AQ50" i="4"/>
  <c r="AQ46" i="4"/>
  <c r="AQ61" i="4"/>
  <c r="AQ57" i="4"/>
  <c r="AQ53" i="4"/>
  <c r="AQ47" i="4"/>
  <c r="AQ41" i="4"/>
  <c r="AQ62" i="4"/>
  <c r="AQ51" i="4"/>
  <c r="AQ45" i="4"/>
  <c r="AQ59" i="4"/>
  <c r="AQ56" i="4"/>
  <c r="AQ42" i="4"/>
  <c r="AQ55" i="4"/>
  <c r="AQ52" i="4"/>
  <c r="AP56" i="1"/>
  <c r="AP57" i="1" s="1"/>
  <c r="AP54" i="1"/>
  <c r="AP50" i="1"/>
  <c r="AP46" i="1"/>
  <c r="AP53" i="1"/>
  <c r="AP49" i="1"/>
  <c r="AP52" i="1"/>
  <c r="AP48" i="1"/>
  <c r="AP42" i="1"/>
  <c r="AP41" i="1"/>
  <c r="AP45" i="1"/>
  <c r="AP51" i="1"/>
  <c r="AP47" i="1"/>
  <c r="AP52" i="2"/>
  <c r="AP48" i="2"/>
  <c r="AP51" i="2"/>
  <c r="AP47" i="2"/>
  <c r="AP56" i="2"/>
  <c r="AP57" i="2" s="1"/>
  <c r="AP54" i="2"/>
  <c r="AP50" i="2"/>
  <c r="AP46" i="2"/>
  <c r="AP53" i="2"/>
  <c r="AP45" i="2"/>
  <c r="AP42" i="2"/>
  <c r="AP41" i="2"/>
  <c r="AP49" i="2"/>
  <c r="AP51" i="3"/>
  <c r="AP47" i="3"/>
  <c r="AP57" i="3"/>
  <c r="AP56" i="3"/>
  <c r="AP54" i="3"/>
  <c r="AP53" i="3"/>
  <c r="AP52" i="3"/>
  <c r="AP50" i="3"/>
  <c r="AP49" i="3"/>
  <c r="AP48" i="3"/>
  <c r="AP46" i="3"/>
  <c r="AP45" i="3"/>
  <c r="AP42" i="3"/>
  <c r="AP41" i="3"/>
  <c r="AQ54" i="3" l="1"/>
  <c r="AQ50" i="3"/>
  <c r="AQ46" i="3"/>
  <c r="AQ57" i="3"/>
  <c r="AQ56" i="3"/>
  <c r="AQ53" i="3"/>
  <c r="AQ52" i="3"/>
  <c r="AQ51" i="3"/>
  <c r="AQ49" i="3"/>
  <c r="AQ48" i="3"/>
  <c r="AQ47" i="3"/>
  <c r="AQ45" i="3"/>
  <c r="AQ42" i="3"/>
  <c r="AQ41" i="3"/>
  <c r="AQ53" i="1"/>
  <c r="AQ49" i="1"/>
  <c r="AQ45" i="1"/>
  <c r="AQ52" i="1"/>
  <c r="AQ48" i="1"/>
  <c r="AQ51" i="1"/>
  <c r="AQ47" i="1"/>
  <c r="AQ50" i="1"/>
  <c r="AQ46" i="1"/>
  <c r="AQ41" i="1"/>
  <c r="AQ42" i="1"/>
  <c r="AQ56" i="1"/>
  <c r="AQ57" i="1" s="1"/>
  <c r="AQ54" i="1"/>
  <c r="AQ51" i="2"/>
  <c r="AQ47" i="2"/>
  <c r="AQ56" i="2"/>
  <c r="AQ57" i="2" s="1"/>
  <c r="AQ54" i="2"/>
  <c r="AQ50" i="2"/>
  <c r="AQ46" i="2"/>
  <c r="AQ53" i="2"/>
  <c r="AQ49" i="2"/>
  <c r="AQ45" i="2"/>
  <c r="AQ48" i="2"/>
  <c r="AQ52" i="2"/>
  <c r="AQ41" i="2"/>
  <c r="AQ42" i="2"/>
  <c r="AR61" i="4"/>
  <c r="AR57" i="4"/>
  <c r="P32" i="4" s="1" a="1"/>
  <c r="P32" i="4" s="1"/>
  <c r="AR53" i="4"/>
  <c r="T32" i="4" s="1" a="1"/>
  <c r="T32" i="4" s="1"/>
  <c r="AR47" i="4"/>
  <c r="X32" i="4" s="1" a="1"/>
  <c r="X32" i="4" s="1"/>
  <c r="AR41" i="4"/>
  <c r="AR56" i="4"/>
  <c r="Q32" i="4" s="1" a="1"/>
  <c r="Q32" i="4" s="1"/>
  <c r="AR52" i="4"/>
  <c r="U32" i="4" s="1" a="1"/>
  <c r="U32" i="4" s="1"/>
  <c r="AR45" i="4"/>
  <c r="Z32" i="4" s="1" a="1"/>
  <c r="Z32" i="4" s="1"/>
  <c r="AR58" i="4"/>
  <c r="O32" i="4" s="1" a="1"/>
  <c r="O32" i="4" s="1"/>
  <c r="AR59" i="4"/>
  <c r="N32" i="4" s="1" a="1"/>
  <c r="N32" i="4" s="1"/>
  <c r="AR54" i="4"/>
  <c r="S32" i="4" s="1" a="1"/>
  <c r="S32" i="4" s="1"/>
  <c r="AR42" i="4"/>
  <c r="AA30" i="4" s="1" a="1"/>
  <c r="AA30" i="4" s="1"/>
  <c r="AR55" i="4"/>
  <c r="R32" i="4" s="1" a="1"/>
  <c r="R32" i="4" s="1"/>
  <c r="AR50" i="4"/>
  <c r="W32" i="4" s="1" a="1"/>
  <c r="W32" i="4" s="1"/>
  <c r="AR46" i="4"/>
  <c r="Y32" i="4" s="1" a="1"/>
  <c r="Y32" i="4" s="1"/>
  <c r="AR51" i="4"/>
  <c r="V32" i="4" s="1" a="1"/>
  <c r="V32" i="4" s="1"/>
  <c r="AR62" i="4"/>
  <c r="AS29" i="7"/>
  <c r="U30" i="6"/>
  <c r="V35" i="6"/>
  <c r="AS56" i="7" s="1"/>
  <c r="AO28" i="7"/>
  <c r="V30" i="5"/>
  <c r="W35" i="5"/>
  <c r="AO55" i="7" s="1"/>
  <c r="AR29" i="7" l="1"/>
  <c r="T30" i="6"/>
  <c r="U35" i="6"/>
  <c r="AR56" i="7" s="1"/>
  <c r="AR52" i="1"/>
  <c r="AR48" i="1"/>
  <c r="AR42" i="1"/>
  <c r="AR41" i="1"/>
  <c r="AR51" i="1"/>
  <c r="AR47" i="1"/>
  <c r="AR56" i="1"/>
  <c r="AR57" i="1" s="1"/>
  <c r="AR54" i="1"/>
  <c r="AR50" i="1"/>
  <c r="AR46" i="1"/>
  <c r="AR53" i="1"/>
  <c r="AR49" i="1"/>
  <c r="AR45" i="1"/>
  <c r="AR56" i="3"/>
  <c r="AR53" i="3"/>
  <c r="AR49" i="3"/>
  <c r="AR45" i="3"/>
  <c r="AR41" i="3"/>
  <c r="AR57" i="3"/>
  <c r="AR52" i="3"/>
  <c r="AR51" i="3"/>
  <c r="AR48" i="3"/>
  <c r="AR47" i="3"/>
  <c r="AR42" i="3"/>
  <c r="AR54" i="3"/>
  <c r="AR50" i="3"/>
  <c r="AR46" i="3"/>
  <c r="AN28" i="7"/>
  <c r="U30" i="5"/>
  <c r="V35" i="5"/>
  <c r="AN55" i="7" s="1"/>
  <c r="AN27" i="7"/>
  <c r="Z30" i="4"/>
  <c r="AR57" i="2"/>
  <c r="AR56" i="2"/>
  <c r="AR54" i="2"/>
  <c r="AR50" i="2"/>
  <c r="AR46" i="2"/>
  <c r="AR53" i="2"/>
  <c r="AR49" i="2"/>
  <c r="AR45" i="2"/>
  <c r="AR52" i="2"/>
  <c r="AR48" i="2"/>
  <c r="AR42" i="2"/>
  <c r="AR41" i="2"/>
  <c r="AR51" i="2"/>
  <c r="AR47" i="2"/>
  <c r="AS57" i="3" l="1"/>
  <c r="AS52" i="3"/>
  <c r="AS48" i="3"/>
  <c r="AS42" i="3"/>
  <c r="AS56" i="3"/>
  <c r="AS54" i="3"/>
  <c r="AS53" i="3"/>
  <c r="AS50" i="3"/>
  <c r="AS49" i="3"/>
  <c r="AS46" i="3"/>
  <c r="AS45" i="3"/>
  <c r="AS41" i="3"/>
  <c r="AS51" i="3"/>
  <c r="AS47" i="3"/>
  <c r="AM27" i="7"/>
  <c r="Y30" i="4"/>
  <c r="AS51" i="1"/>
  <c r="AS47" i="1"/>
  <c r="AS56" i="1"/>
  <c r="AS57" i="1" s="1"/>
  <c r="AS54" i="1"/>
  <c r="AS50" i="1"/>
  <c r="AS46" i="1"/>
  <c r="AS53" i="1"/>
  <c r="AS49" i="1"/>
  <c r="AS45" i="1"/>
  <c r="AS41" i="1"/>
  <c r="AS52" i="1"/>
  <c r="AS42" i="1"/>
  <c r="AS48" i="1"/>
  <c r="AQ29" i="7"/>
  <c r="S30" i="6"/>
  <c r="T35" i="6"/>
  <c r="AQ56" i="7" s="1"/>
  <c r="AS53" i="2"/>
  <c r="AS49" i="2"/>
  <c r="AS45" i="2"/>
  <c r="AS52" i="2"/>
  <c r="AS48" i="2"/>
  <c r="AS42" i="2"/>
  <c r="AS41" i="2"/>
  <c r="AS51" i="2"/>
  <c r="AS47" i="2"/>
  <c r="AS57" i="2"/>
  <c r="AS56" i="2"/>
  <c r="AS54" i="2"/>
  <c r="AS46" i="2"/>
  <c r="AS50" i="2"/>
  <c r="AM28" i="7"/>
  <c r="T30" i="5"/>
  <c r="U35" i="5"/>
  <c r="AM55" i="7" s="1"/>
  <c r="AT56" i="1" l="1"/>
  <c r="AT57" i="1" s="1"/>
  <c r="AT54" i="1"/>
  <c r="AT50" i="1"/>
  <c r="AT46" i="1"/>
  <c r="AT53" i="1"/>
  <c r="AT49" i="1"/>
  <c r="AT52" i="1"/>
  <c r="AT48" i="1"/>
  <c r="AT42" i="1"/>
  <c r="AT41" i="1"/>
  <c r="AT51" i="1"/>
  <c r="AT47" i="1"/>
  <c r="AT45" i="1"/>
  <c r="AL28" i="7"/>
  <c r="S30" i="5"/>
  <c r="T35" i="5"/>
  <c r="AL55" i="7" s="1"/>
  <c r="AT51" i="3"/>
  <c r="Q32" i="3" s="1" a="1"/>
  <c r="Q32" i="3" s="1"/>
  <c r="AT47" i="3"/>
  <c r="U32" i="3" s="1" a="1"/>
  <c r="U32" i="3" s="1"/>
  <c r="AT57" i="3"/>
  <c r="AT56" i="3"/>
  <c r="AT54" i="3"/>
  <c r="N32" i="3" s="1" a="1"/>
  <c r="N32" i="3" s="1"/>
  <c r="AT53" i="3"/>
  <c r="O32" i="3" s="1" a="1"/>
  <c r="O32" i="3" s="1"/>
  <c r="AT52" i="3"/>
  <c r="P32" i="3" s="1" a="1"/>
  <c r="P32" i="3" s="1"/>
  <c r="AT50" i="3"/>
  <c r="R32" i="3" s="1" a="1"/>
  <c r="R32" i="3" s="1"/>
  <c r="AT49" i="3"/>
  <c r="S32" i="3" s="1" a="1"/>
  <c r="S32" i="3" s="1"/>
  <c r="AT48" i="3"/>
  <c r="T32" i="3" s="1" a="1"/>
  <c r="T32" i="3" s="1"/>
  <c r="AT46" i="3"/>
  <c r="V32" i="3" s="1" a="1"/>
  <c r="V32" i="3" s="1"/>
  <c r="AT41" i="3"/>
  <c r="AT42" i="3"/>
  <c r="AA30" i="3" s="1" a="1"/>
  <c r="AA30" i="3" s="1"/>
  <c r="AT45" i="3"/>
  <c r="W32" i="3" s="1" a="1"/>
  <c r="W32" i="3" s="1"/>
  <c r="AT52" i="2"/>
  <c r="AT48" i="2"/>
  <c r="AT51" i="2"/>
  <c r="AT47" i="2"/>
  <c r="AT57" i="2"/>
  <c r="AT56" i="2"/>
  <c r="AT54" i="2"/>
  <c r="AT50" i="2"/>
  <c r="AT46" i="2"/>
  <c r="AT49" i="2"/>
  <c r="AT42" i="2"/>
  <c r="AT41" i="2"/>
  <c r="AT53" i="2"/>
  <c r="AT45" i="2"/>
  <c r="AP29" i="7"/>
  <c r="R30" i="6"/>
  <c r="S35" i="6"/>
  <c r="AP56" i="7" s="1"/>
  <c r="AL27" i="7"/>
  <c r="X30" i="4"/>
  <c r="AK27" i="7" l="1"/>
  <c r="W30" i="4"/>
  <c r="AU53" i="1"/>
  <c r="AU49" i="1"/>
  <c r="AU45" i="1"/>
  <c r="AU52" i="1"/>
  <c r="AU48" i="1"/>
  <c r="AU51" i="1"/>
  <c r="AU47" i="1"/>
  <c r="AU46" i="1"/>
  <c r="AU56" i="1"/>
  <c r="AU57" i="1" s="1"/>
  <c r="AU42" i="1"/>
  <c r="AU50" i="1"/>
  <c r="AU41" i="1"/>
  <c r="AU54" i="1"/>
  <c r="AI26" i="7"/>
  <c r="Z30" i="3"/>
  <c r="AO29" i="7"/>
  <c r="Q30" i="6"/>
  <c r="R35" i="6"/>
  <c r="AO56" i="7" s="1"/>
  <c r="AU51" i="2"/>
  <c r="AU47" i="2"/>
  <c r="AU57" i="2"/>
  <c r="AU56" i="2"/>
  <c r="AU54" i="2"/>
  <c r="AU50" i="2"/>
  <c r="AU46" i="2"/>
  <c r="AU53" i="2"/>
  <c r="AU49" i="2"/>
  <c r="AU45" i="2"/>
  <c r="AU48" i="2"/>
  <c r="AU42" i="2"/>
  <c r="AU41" i="2"/>
  <c r="AU52" i="2"/>
  <c r="AK28" i="7"/>
  <c r="R30" i="5"/>
  <c r="S35" i="5"/>
  <c r="AK55" i="7" s="1"/>
  <c r="AH26" i="7" l="1"/>
  <c r="Y30" i="3"/>
  <c r="AJ27" i="7"/>
  <c r="V30" i="4"/>
  <c r="W35" i="4"/>
  <c r="AJ54" i="7" s="1"/>
  <c r="AJ28" i="7"/>
  <c r="Q30" i="5"/>
  <c r="R35" i="5"/>
  <c r="AJ55" i="7" s="1"/>
  <c r="AV57" i="2"/>
  <c r="AV56" i="2"/>
  <c r="AV54" i="2"/>
  <c r="AV50" i="2"/>
  <c r="AV46" i="2"/>
  <c r="AV53" i="2"/>
  <c r="AV49" i="2"/>
  <c r="AV45" i="2"/>
  <c r="AV52" i="2"/>
  <c r="AV48" i="2"/>
  <c r="AV42" i="2"/>
  <c r="AV41" i="2"/>
  <c r="AV47" i="2"/>
  <c r="AV51" i="2"/>
  <c r="AN29" i="7"/>
  <c r="P30" i="6"/>
  <c r="Q35" i="6"/>
  <c r="AN56" i="7" s="1"/>
  <c r="AV52" i="1"/>
  <c r="AV48" i="1"/>
  <c r="AV42" i="1"/>
  <c r="AV41" i="1"/>
  <c r="AV51" i="1"/>
  <c r="AV47" i="1"/>
  <c r="AV56" i="1"/>
  <c r="AV57" i="1" s="1"/>
  <c r="AV54" i="1"/>
  <c r="AV50" i="1"/>
  <c r="AV46" i="1"/>
  <c r="AV49" i="1"/>
  <c r="AV45" i="1"/>
  <c r="AV53" i="1"/>
  <c r="AW51" i="1" l="1"/>
  <c r="AW47" i="1"/>
  <c r="AW56" i="1"/>
  <c r="AW57" i="1" s="1"/>
  <c r="AW54" i="1"/>
  <c r="AW50" i="1"/>
  <c r="AW46" i="1"/>
  <c r="AW53" i="1"/>
  <c r="AW49" i="1"/>
  <c r="AW45" i="1"/>
  <c r="AW42" i="1"/>
  <c r="AW52" i="1"/>
  <c r="AW48" i="1"/>
  <c r="AW41" i="1"/>
  <c r="AI28" i="7"/>
  <c r="P30" i="5"/>
  <c r="Q35" i="5"/>
  <c r="AI55" i="7" s="1"/>
  <c r="AW53" i="2"/>
  <c r="AW49" i="2"/>
  <c r="AW45" i="2"/>
  <c r="AW52" i="2"/>
  <c r="AW48" i="2"/>
  <c r="AW42" i="2"/>
  <c r="AW41" i="2"/>
  <c r="AW51" i="2"/>
  <c r="AW47" i="2"/>
  <c r="AW50" i="2"/>
  <c r="AW54" i="2"/>
  <c r="AW46" i="2"/>
  <c r="AW56" i="2"/>
  <c r="AW57" i="2"/>
  <c r="AG26" i="7"/>
  <c r="X30" i="3"/>
  <c r="AI27" i="7"/>
  <c r="U30" i="4"/>
  <c r="V35" i="4"/>
  <c r="AI54" i="7" s="1"/>
  <c r="AM29" i="7"/>
  <c r="O30" i="6"/>
  <c r="P35" i="6"/>
  <c r="AM56" i="7" s="1"/>
  <c r="AF26" i="7" l="1"/>
  <c r="W30" i="3"/>
  <c r="AX56" i="1"/>
  <c r="AX57" i="1" s="1"/>
  <c r="AX54" i="1"/>
  <c r="AX50" i="1"/>
  <c r="AX46" i="1"/>
  <c r="AX53" i="1"/>
  <c r="AX49" i="1"/>
  <c r="AX52" i="1"/>
  <c r="AX48" i="1"/>
  <c r="AX42" i="1"/>
  <c r="AX41" i="1"/>
  <c r="AX47" i="1"/>
  <c r="AX45" i="1"/>
  <c r="AX51" i="1"/>
  <c r="AL29" i="7"/>
  <c r="N30" i="6"/>
  <c r="O35" i="6"/>
  <c r="AL56" i="7" s="1"/>
  <c r="AX52" i="2"/>
  <c r="AX48" i="2"/>
  <c r="AX51" i="2"/>
  <c r="AX47" i="2"/>
  <c r="AX57" i="2"/>
  <c r="AX56" i="2"/>
  <c r="AX54" i="2"/>
  <c r="AX50" i="2"/>
  <c r="AX46" i="2"/>
  <c r="AX49" i="2"/>
  <c r="AX42" i="2"/>
  <c r="AX41" i="2"/>
  <c r="AX53" i="2"/>
  <c r="AX45" i="2"/>
  <c r="AH27" i="7"/>
  <c r="T30" i="4"/>
  <c r="U35" i="4"/>
  <c r="AH54" i="7" s="1"/>
  <c r="AH28" i="7"/>
  <c r="O30" i="5"/>
  <c r="P35" i="5"/>
  <c r="AH55" i="7" s="1"/>
  <c r="AG28" i="7" l="1"/>
  <c r="N30" i="5"/>
  <c r="O35" i="5"/>
  <c r="AG55" i="7" s="1"/>
  <c r="AY51" i="2"/>
  <c r="Q32" i="2" s="1" a="1"/>
  <c r="Q32" i="2" s="1"/>
  <c r="AY47" i="2"/>
  <c r="U32" i="2" s="1" a="1"/>
  <c r="U32" i="2" s="1"/>
  <c r="AY57" i="2"/>
  <c r="AY56" i="2"/>
  <c r="AY54" i="2"/>
  <c r="N32" i="2" s="1" a="1"/>
  <c r="N32" i="2" s="1"/>
  <c r="AY50" i="2"/>
  <c r="R32" i="2" s="1" a="1"/>
  <c r="R32" i="2" s="1"/>
  <c r="AY46" i="2"/>
  <c r="V32" i="2" s="1" a="1"/>
  <c r="V32" i="2" s="1"/>
  <c r="AY53" i="2"/>
  <c r="O32" i="2" s="1" a="1"/>
  <c r="O32" i="2" s="1"/>
  <c r="AY49" i="2"/>
  <c r="S32" i="2" s="1" a="1"/>
  <c r="S32" i="2" s="1"/>
  <c r="AY45" i="2"/>
  <c r="W32" i="2" s="1" a="1"/>
  <c r="W32" i="2" s="1"/>
  <c r="AY52" i="2"/>
  <c r="P32" i="2" s="1" a="1"/>
  <c r="P32" i="2" s="1"/>
  <c r="AY48" i="2"/>
  <c r="T32" i="2" s="1" a="1"/>
  <c r="T32" i="2" s="1"/>
  <c r="AY41" i="2"/>
  <c r="AY42" i="2"/>
  <c r="AA30" i="2" s="1" a="1"/>
  <c r="AA30" i="2" s="1"/>
  <c r="AK29" i="7"/>
  <c r="M30" i="6"/>
  <c r="N35" i="6"/>
  <c r="AK56" i="7" s="1"/>
  <c r="AE26" i="7"/>
  <c r="V30" i="3"/>
  <c r="W35" i="3"/>
  <c r="AE53" i="7" s="1"/>
  <c r="AG27" i="7"/>
  <c r="S30" i="4"/>
  <c r="T35" i="4"/>
  <c r="AG54" i="7" s="1"/>
  <c r="AY53" i="1"/>
  <c r="AY49" i="1"/>
  <c r="AY45" i="1"/>
  <c r="AY52" i="1"/>
  <c r="AY48" i="1"/>
  <c r="AY51" i="1"/>
  <c r="AY47" i="1"/>
  <c r="AY56" i="1"/>
  <c r="AY57" i="1" s="1"/>
  <c r="AY54" i="1"/>
  <c r="AY41" i="1"/>
  <c r="AY42" i="1"/>
  <c r="AY50" i="1"/>
  <c r="AY46" i="1"/>
  <c r="AJ29" i="7" l="1"/>
  <c r="L30" i="6"/>
  <c r="M34" i="6"/>
  <c r="AJ56" i="7" s="1"/>
  <c r="AZ52" i="1"/>
  <c r="AZ48" i="1"/>
  <c r="AZ42" i="1"/>
  <c r="AZ41" i="1"/>
  <c r="AZ51" i="1"/>
  <c r="AZ47" i="1"/>
  <c r="AZ56" i="1"/>
  <c r="AZ57" i="1" s="1"/>
  <c r="AZ54" i="1"/>
  <c r="AZ50" i="1"/>
  <c r="AZ46" i="1"/>
  <c r="AZ49" i="1"/>
  <c r="AZ53" i="1"/>
  <c r="AZ45" i="1"/>
  <c r="AD26" i="7"/>
  <c r="U30" i="3"/>
  <c r="V35" i="3"/>
  <c r="AD53" i="7" s="1"/>
  <c r="AF28" i="7"/>
  <c r="M30" i="5"/>
  <c r="N35" i="5"/>
  <c r="AF55" i="7" s="1"/>
  <c r="AF27" i="7"/>
  <c r="R30" i="4"/>
  <c r="S35" i="4"/>
  <c r="AF54" i="7" s="1"/>
  <c r="AD25" i="7"/>
  <c r="Z30" i="2"/>
  <c r="BA51" i="1" l="1"/>
  <c r="BA47" i="1"/>
  <c r="BA56" i="1"/>
  <c r="BA57" i="1" s="1"/>
  <c r="BA54" i="1"/>
  <c r="BA50" i="1"/>
  <c r="BA46" i="1"/>
  <c r="BA53" i="1"/>
  <c r="BA49" i="1"/>
  <c r="BA45" i="1"/>
  <c r="BA52" i="1"/>
  <c r="BA41" i="1"/>
  <c r="BA48" i="1"/>
  <c r="BA42" i="1"/>
  <c r="AC25" i="7"/>
  <c r="Y30" i="2"/>
  <c r="AE28" i="7"/>
  <c r="L30" i="5"/>
  <c r="M34" i="5"/>
  <c r="AE55" i="7" s="1"/>
  <c r="AE27" i="7"/>
  <c r="Q30" i="4"/>
  <c r="R35" i="4"/>
  <c r="AE54" i="7" s="1"/>
  <c r="AC26" i="7"/>
  <c r="T30" i="3"/>
  <c r="U35" i="3"/>
  <c r="AC53" i="7" s="1"/>
  <c r="AI29" i="7"/>
  <c r="K30" i="6"/>
  <c r="L34" i="6"/>
  <c r="AI56" i="7" s="1"/>
  <c r="BB56" i="1" l="1"/>
  <c r="BB57" i="1" s="1"/>
  <c r="BB54" i="1"/>
  <c r="BB50" i="1"/>
  <c r="BB46" i="1"/>
  <c r="BB53" i="1"/>
  <c r="BB49" i="1"/>
  <c r="BB52" i="1"/>
  <c r="BB48" i="1"/>
  <c r="BB42" i="1"/>
  <c r="BB41" i="1"/>
  <c r="BB51" i="1"/>
  <c r="BB45" i="1"/>
  <c r="BB47" i="1"/>
  <c r="AD27" i="7"/>
  <c r="P30" i="4"/>
  <c r="Q35" i="4"/>
  <c r="AD54" i="7" s="1"/>
  <c r="AH29" i="7"/>
  <c r="J30" i="6"/>
  <c r="K34" i="6"/>
  <c r="AH56" i="7" s="1"/>
  <c r="AD28" i="7"/>
  <c r="K30" i="5"/>
  <c r="L34" i="5"/>
  <c r="AD55" i="7" s="1"/>
  <c r="AB26" i="7"/>
  <c r="S30" i="3"/>
  <c r="T35" i="3"/>
  <c r="AB53" i="7" s="1"/>
  <c r="AB25" i="7"/>
  <c r="X30" i="2"/>
  <c r="AA26" i="7" l="1"/>
  <c r="R30" i="3"/>
  <c r="S35" i="3"/>
  <c r="AA53" i="7" s="1"/>
  <c r="AG29" i="7"/>
  <c r="I30" i="6"/>
  <c r="J34" i="6"/>
  <c r="AG56" i="7" s="1"/>
  <c r="BC53" i="1"/>
  <c r="O32" i="1" s="1" a="1"/>
  <c r="O32" i="1" s="1"/>
  <c r="BC49" i="1"/>
  <c r="S32" i="1" s="1" a="1"/>
  <c r="S32" i="1" s="1"/>
  <c r="BC45" i="1"/>
  <c r="W32" i="1" s="1" a="1"/>
  <c r="W32" i="1" s="1"/>
  <c r="BC52" i="1"/>
  <c r="P32" i="1" s="1" a="1"/>
  <c r="P32" i="1" s="1"/>
  <c r="BC48" i="1"/>
  <c r="T32" i="1" s="1" a="1"/>
  <c r="T32" i="1" s="1"/>
  <c r="BC51" i="1"/>
  <c r="Q32" i="1" s="1" a="1"/>
  <c r="Q32" i="1" s="1"/>
  <c r="BC47" i="1"/>
  <c r="U32" i="1" s="1" a="1"/>
  <c r="U32" i="1" s="1"/>
  <c r="BC54" i="1"/>
  <c r="N32" i="1" s="1" a="1"/>
  <c r="N32" i="1" s="1"/>
  <c r="BC50" i="1"/>
  <c r="R32" i="1" s="1" a="1"/>
  <c r="R32" i="1" s="1"/>
  <c r="BC42" i="1"/>
  <c r="AA30" i="1" s="1" a="1"/>
  <c r="AA30" i="1" s="1"/>
  <c r="BC56" i="1"/>
  <c r="BC41" i="1"/>
  <c r="BC57" i="1"/>
  <c r="BC46" i="1"/>
  <c r="V32" i="1" s="1" a="1"/>
  <c r="V32" i="1" s="1"/>
  <c r="AC28" i="7"/>
  <c r="J30" i="5"/>
  <c r="K34" i="5"/>
  <c r="AC55" i="7" s="1"/>
  <c r="AA25" i="7"/>
  <c r="W30" i="2"/>
  <c r="AC27" i="7"/>
  <c r="O30" i="4"/>
  <c r="P35" i="4"/>
  <c r="AC54" i="7" s="1"/>
  <c r="Z24" i="7" l="1"/>
  <c r="Z30" i="1"/>
  <c r="AB28" i="7"/>
  <c r="I30" i="5"/>
  <c r="J34" i="5"/>
  <c r="AB55" i="7" s="1"/>
  <c r="Z26" i="7"/>
  <c r="Q30" i="3"/>
  <c r="R35" i="3"/>
  <c r="Z53" i="7" s="1"/>
  <c r="AB27" i="7"/>
  <c r="N30" i="4"/>
  <c r="O35" i="4"/>
  <c r="AB54" i="7" s="1"/>
  <c r="Z25" i="7"/>
  <c r="V30" i="2"/>
  <c r="W35" i="2"/>
  <c r="Z52" i="7" s="1"/>
  <c r="AF29" i="7"/>
  <c r="H30" i="6"/>
  <c r="I34" i="6"/>
  <c r="AF56" i="7" s="1"/>
  <c r="Y26" i="7" l="1"/>
  <c r="P30" i="3"/>
  <c r="Q35" i="3"/>
  <c r="Y53" i="7" s="1"/>
  <c r="AA27" i="7"/>
  <c r="M30" i="4"/>
  <c r="N35" i="4"/>
  <c r="AA54" i="7" s="1"/>
  <c r="AA28" i="7"/>
  <c r="H30" i="5"/>
  <c r="I34" i="5"/>
  <c r="AA55" i="7" s="1"/>
  <c r="Y24" i="7"/>
  <c r="Y30" i="1"/>
  <c r="AE29" i="7"/>
  <c r="G30" i="6"/>
  <c r="H34" i="6"/>
  <c r="AE56" i="7" s="1"/>
  <c r="Y25" i="7"/>
  <c r="U30" i="2"/>
  <c r="V35" i="2"/>
  <c r="Y52" i="7" s="1"/>
  <c r="Z28" i="7" l="1"/>
  <c r="G30" i="5"/>
  <c r="H34" i="5"/>
  <c r="Z55" i="7" s="1"/>
  <c r="X26" i="7"/>
  <c r="O30" i="3"/>
  <c r="P35" i="3"/>
  <c r="X53" i="7" s="1"/>
  <c r="X25" i="7"/>
  <c r="T30" i="2"/>
  <c r="U35" i="2"/>
  <c r="X52" i="7" s="1"/>
  <c r="X24" i="7"/>
  <c r="X30" i="1"/>
  <c r="AD29" i="7"/>
  <c r="F30" i="6"/>
  <c r="G34" i="6"/>
  <c r="AD56" i="7" s="1"/>
  <c r="Z27" i="7"/>
  <c r="L30" i="4"/>
  <c r="M34" i="4"/>
  <c r="Z54" i="7" s="1"/>
  <c r="W24" i="7" l="1"/>
  <c r="W30" i="1"/>
  <c r="Y27" i="7"/>
  <c r="K30" i="4"/>
  <c r="L34" i="4"/>
  <c r="Y54" i="7" s="1"/>
  <c r="Y28" i="7"/>
  <c r="F30" i="5"/>
  <c r="G34" i="5"/>
  <c r="Y55" i="7" s="1"/>
  <c r="W25" i="7"/>
  <c r="S30" i="2"/>
  <c r="T35" i="2"/>
  <c r="W52" i="7" s="1"/>
  <c r="AC29" i="7"/>
  <c r="E30" i="6"/>
  <c r="F34" i="6"/>
  <c r="AC56" i="7" s="1"/>
  <c r="W26" i="7"/>
  <c r="N30" i="3"/>
  <c r="O35" i="3"/>
  <c r="W53" i="7" s="1"/>
  <c r="X27" i="7" l="1"/>
  <c r="J30" i="4"/>
  <c r="K34" i="4"/>
  <c r="X54" i="7" s="1"/>
  <c r="V25" i="7"/>
  <c r="R30" i="2"/>
  <c r="S35" i="2"/>
  <c r="V52" i="7" s="1"/>
  <c r="V24" i="7"/>
  <c r="V30" i="1"/>
  <c r="W35" i="1"/>
  <c r="V51" i="7" s="1"/>
  <c r="V26" i="7"/>
  <c r="M30" i="3"/>
  <c r="N35" i="3"/>
  <c r="V53" i="7" s="1"/>
  <c r="X28" i="7"/>
  <c r="E30" i="5"/>
  <c r="F34" i="5"/>
  <c r="X55" i="7" s="1"/>
  <c r="AB29" i="7"/>
  <c r="D30" i="6"/>
  <c r="E34" i="6"/>
  <c r="AB56" i="7" s="1"/>
  <c r="U26" i="7" l="1"/>
  <c r="L30" i="3"/>
  <c r="M34" i="3"/>
  <c r="U53" i="7" s="1"/>
  <c r="W28" i="7"/>
  <c r="D30" i="5"/>
  <c r="E34" i="5"/>
  <c r="W55" i="7" s="1"/>
  <c r="W27" i="7"/>
  <c r="I30" i="4"/>
  <c r="J34" i="4"/>
  <c r="W54" i="7" s="1"/>
  <c r="U24" i="7"/>
  <c r="U30" i="1"/>
  <c r="V35" i="1"/>
  <c r="U51" i="7" s="1"/>
  <c r="AA29" i="7"/>
  <c r="D34" i="6"/>
  <c r="AA56" i="7" s="1"/>
  <c r="U25" i="7"/>
  <c r="Q30" i="2"/>
  <c r="R35" i="2"/>
  <c r="U52" i="7" s="1"/>
  <c r="T24" i="7" l="1"/>
  <c r="T30" i="1"/>
  <c r="U35" i="1"/>
  <c r="T51" i="7" s="1"/>
  <c r="T25" i="7"/>
  <c r="P30" i="2"/>
  <c r="Q35" i="2"/>
  <c r="T52" i="7" s="1"/>
  <c r="T26" i="7"/>
  <c r="K30" i="3"/>
  <c r="L34" i="3"/>
  <c r="T53" i="7" s="1"/>
  <c r="V27" i="7"/>
  <c r="H30" i="4"/>
  <c r="I34" i="4"/>
  <c r="V54" i="7" s="1"/>
  <c r="V28" i="7"/>
  <c r="D34" i="5"/>
  <c r="V55" i="7" s="1"/>
  <c r="S26" i="7" l="1"/>
  <c r="J30" i="3"/>
  <c r="K34" i="3"/>
  <c r="S53" i="7" s="1"/>
  <c r="U27" i="7"/>
  <c r="G30" i="4"/>
  <c r="H34" i="4"/>
  <c r="U54" i="7" s="1"/>
  <c r="S24" i="7"/>
  <c r="S30" i="1"/>
  <c r="T35" i="1"/>
  <c r="S51" i="7" s="1"/>
  <c r="S25" i="7"/>
  <c r="O30" i="2"/>
  <c r="P35" i="2"/>
  <c r="S52" i="7" s="1"/>
  <c r="R24" i="7" l="1"/>
  <c r="R30" i="1"/>
  <c r="S35" i="1"/>
  <c r="R51" i="7" s="1"/>
  <c r="R26" i="7"/>
  <c r="I30" i="3"/>
  <c r="J34" i="3"/>
  <c r="R53" i="7" s="1"/>
  <c r="R25" i="7"/>
  <c r="N30" i="2"/>
  <c r="O35" i="2"/>
  <c r="R52" i="7" s="1"/>
  <c r="T27" i="7"/>
  <c r="F30" i="4"/>
  <c r="G34" i="4"/>
  <c r="T54" i="7" s="1"/>
  <c r="Q25" i="7" l="1"/>
  <c r="M30" i="2"/>
  <c r="N35" i="2"/>
  <c r="Q52" i="7" s="1"/>
  <c r="Q24" i="7"/>
  <c r="Q30" i="1"/>
  <c r="R35" i="1"/>
  <c r="Q51" i="7" s="1"/>
  <c r="S27" i="7"/>
  <c r="E30" i="4"/>
  <c r="F34" i="4"/>
  <c r="S54" i="7" s="1"/>
  <c r="Q26" i="7"/>
  <c r="H30" i="3"/>
  <c r="I34" i="3"/>
  <c r="Q53" i="7" s="1"/>
  <c r="R27" i="7" l="1"/>
  <c r="D30" i="4"/>
  <c r="E34" i="4"/>
  <c r="R54" i="7" s="1"/>
  <c r="P25" i="7"/>
  <c r="L30" i="2"/>
  <c r="M34" i="2"/>
  <c r="P52" i="7" s="1"/>
  <c r="P26" i="7"/>
  <c r="G30" i="3"/>
  <c r="H34" i="3"/>
  <c r="P53" i="7" s="1"/>
  <c r="P24" i="7"/>
  <c r="P30" i="1"/>
  <c r="Q35" i="1"/>
  <c r="P51" i="7" s="1"/>
  <c r="O26" i="7" l="1"/>
  <c r="F30" i="3"/>
  <c r="G34" i="3"/>
  <c r="O53" i="7" s="1"/>
  <c r="Q27" i="7"/>
  <c r="D34" i="4"/>
  <c r="Q54" i="7" s="1"/>
  <c r="O24" i="7"/>
  <c r="O30" i="1"/>
  <c r="P35" i="1"/>
  <c r="O51" i="7" s="1"/>
  <c r="O25" i="7"/>
  <c r="K30" i="2"/>
  <c r="L34" i="2"/>
  <c r="O52" i="7" s="1"/>
  <c r="N24" i="7" l="1"/>
  <c r="N30" i="1"/>
  <c r="O35" i="1"/>
  <c r="N51" i="7" s="1"/>
  <c r="N26" i="7"/>
  <c r="E30" i="3"/>
  <c r="F34" i="3"/>
  <c r="N53" i="7" s="1"/>
  <c r="N25" i="7"/>
  <c r="J30" i="2"/>
  <c r="K34" i="2"/>
  <c r="N52" i="7" s="1"/>
  <c r="M25" i="7" l="1"/>
  <c r="I30" i="2"/>
  <c r="J34" i="2"/>
  <c r="M52" i="7" s="1"/>
  <c r="M24" i="7"/>
  <c r="M30" i="1"/>
  <c r="N35" i="1"/>
  <c r="M51" i="7" s="1"/>
  <c r="M26" i="7"/>
  <c r="D30" i="3"/>
  <c r="E34" i="3"/>
  <c r="M53" i="7" s="1"/>
  <c r="L26" i="7" l="1"/>
  <c r="D34" i="3"/>
  <c r="L53" i="7" s="1"/>
  <c r="L25" i="7"/>
  <c r="H30" i="2"/>
  <c r="I34" i="2"/>
  <c r="L52" i="7" s="1"/>
  <c r="L24" i="7"/>
  <c r="L30" i="1"/>
  <c r="M34" i="1"/>
  <c r="L51" i="7" s="1"/>
  <c r="K25" i="7" l="1"/>
  <c r="G30" i="2"/>
  <c r="H34" i="2"/>
  <c r="K52" i="7" s="1"/>
  <c r="K24" i="7"/>
  <c r="K30" i="1"/>
  <c r="L34" i="1"/>
  <c r="K51" i="7" s="1"/>
  <c r="J25" i="7" l="1"/>
  <c r="F30" i="2"/>
  <c r="G34" i="2"/>
  <c r="J52" i="7" s="1"/>
  <c r="J24" i="7"/>
  <c r="J30" i="1"/>
  <c r="K34" i="1"/>
  <c r="J51" i="7" s="1"/>
  <c r="I25" i="7" l="1"/>
  <c r="E30" i="2"/>
  <c r="F34" i="2"/>
  <c r="I52" i="7" s="1"/>
  <c r="I24" i="7"/>
  <c r="I30" i="1"/>
  <c r="J34" i="1"/>
  <c r="I51" i="7" s="1"/>
  <c r="H25" i="7" l="1"/>
  <c r="D30" i="2"/>
  <c r="E34" i="2"/>
  <c r="H52" i="7" s="1"/>
  <c r="H24" i="7"/>
  <c r="H30" i="1"/>
  <c r="I34" i="1"/>
  <c r="H51" i="7" s="1"/>
  <c r="G25" i="7" l="1"/>
  <c r="D34" i="2"/>
  <c r="G52" i="7" s="1"/>
  <c r="G24" i="7"/>
  <c r="G30" i="1"/>
  <c r="H34" i="1"/>
  <c r="G51" i="7" s="1"/>
  <c r="F24" i="7" l="1"/>
  <c r="F30" i="1"/>
  <c r="G34" i="1"/>
  <c r="F51" i="7" s="1"/>
  <c r="E24" i="7" l="1"/>
  <c r="E30" i="1"/>
  <c r="F34" i="1"/>
  <c r="E51" i="7" s="1"/>
  <c r="D24" i="7" l="1"/>
  <c r="D30" i="1"/>
  <c r="E34" i="1"/>
  <c r="D51" i="7" s="1"/>
  <c r="C24" i="7" l="1"/>
  <c r="D34" i="1"/>
  <c r="C51" i="7" s="1"/>
</calcChain>
</file>

<file path=xl/sharedStrings.xml><?xml version="1.0" encoding="utf-8"?>
<sst xmlns="http://schemas.openxmlformats.org/spreadsheetml/2006/main" count="419" uniqueCount="89">
  <si>
    <t>* * * This spreadsheet is a tool for educational purposes only. Consult with a pension, deferred comp, and financial advisor if considering retiring * * *</t>
  </si>
  <si>
    <t>Instructions</t>
  </si>
  <si>
    <t>Assumptions (You Can Edit)</t>
  </si>
  <si>
    <t>Notes</t>
  </si>
  <si>
    <t>1. Select the tab / sheet at the bottom of the page that most closely matches your age when you started the academy</t>
  </si>
  <si>
    <t>1. The default salary shown below is the 2018-2019 pay scale for someone who promotes to detective at the beginning of year 13 and</t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</si>
  <si>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</si>
  <si>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</si>
  <si>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t>Average of Highest 3 Years Salary (LOCKED)</t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</si>
  <si>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</si>
  <si>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t xml:space="preserve">    retires at the same rank at the beginning of year 23. </t>
  </si>
  <si>
    <t>3. If you retire at 23 years, this is the percentage of your highest three years of pay that you'll receive</t>
  </si>
  <si>
    <t>Pension payments after retirement (LOCKED)</t>
  </si>
  <si>
    <t>2. The default discount rate used is the current U.S. 10-year treasury bond rate. Pensions aren't risk-free, though, so a higher rate should be used</t>
  </si>
  <si>
    <t>Formula @ 23 years (LOCKED)</t>
  </si>
  <si>
    <t>3. Lines 37 and 62 track how your and the city's contributions would hypothetically grow over time inside the pension</t>
  </si>
  <si>
    <t>3. Lines 42 and 62 track how your and the city's contributions would hypothetically grow over time inside the pension</t>
  </si>
  <si>
    <t>Multiplier</t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</si>
  <si>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</si>
  <si>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</si>
  <si>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t>6. This is the pension system's expected rate of return (ROR). Edit the number to see how different rates of return affect valuations--&gt;</t>
  </si>
  <si>
    <t>Pension Rate of Return</t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</si>
  <si>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</si>
  <si>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t xml:space="preserve">    today minus the member contribution refund you would receive if you left the department. Inflation, COLA, death age assumptions affect this number</t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</si>
  <si>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</si>
  <si>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t>Pension discount rate</t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</si>
  <si>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</si>
  <si>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</si>
  <si>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</si>
  <si>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</si>
  <si>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t>8. Currently, the cost of living adjustment paid to retirees is 0%. Edit this to see how COLA's affect benefit payout over time.</t>
  </si>
  <si>
    <t>COLA</t>
  </si>
  <si>
    <t xml:space="preserve">    minus the present value of the benefit you would receive once you turn 62. Inflation, COLA, and death age assumptions affect this number</t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</si>
  <si>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</si>
  <si>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t>9. The inflation rate, 1.8%, is what the U.S. has averaged over the last decade. Change this to see how it impacts your purchasing power</t>
  </si>
  <si>
    <t>Inflation Rate</t>
  </si>
  <si>
    <t>5. The pension balance at retirement (box AA37) illustratss what your contributions and the city's have grown to inside the pension fund</t>
  </si>
  <si>
    <t>10. The mode American life expectancy is 88, and the median is 84. Edit to see how your life span impacts your pension benefit value</t>
  </si>
  <si>
    <t>Expected age at death (minimum 63)</t>
  </si>
  <si>
    <t>6. Spot an error? Have a suggestion for a change or new feature? Contact Mike Endres and he can fix, add, or build new functionality into the chart</t>
  </si>
  <si>
    <t xml:space="preserve">11. You can edit the member and city contribution rate to see how changes would affect how much you pay into the system (line 24) </t>
  </si>
  <si>
    <t>Member contributions as a % of payroll</t>
  </si>
  <si>
    <t xml:space="preserve">      as well as how changes would impact the balances in the pension</t>
  </si>
  <si>
    <t>City contributions as a % of payroll</t>
  </si>
  <si>
    <t>Working Years</t>
  </si>
  <si>
    <t>Age</t>
  </si>
  <si>
    <t>Years of service</t>
  </si>
  <si>
    <t>Promote</t>
  </si>
  <si>
    <t>Retirement Benefit</t>
  </si>
  <si>
    <t>Salary</t>
  </si>
  <si>
    <t>Member contribution (currently 13% of payroll)</t>
  </si>
  <si>
    <t>Member accumulated conttributions</t>
  </si>
  <si>
    <t>City contributions  (currently 21.313% payroll)</t>
  </si>
  <si>
    <t>City contributions cumulative total</t>
  </si>
  <si>
    <t>Member + city yearly sum</t>
  </si>
  <si>
    <t>Member + city total</t>
  </si>
  <si>
    <t>Pension Value at Retirement</t>
  </si>
  <si>
    <t>Present value (PV) of full pension</t>
  </si>
  <si>
    <t>PV non-vested benefit at time of termination</t>
  </si>
  <si>
    <t>PV vested benefit by year, adjusted for inflation &amp; COLA</t>
  </si>
  <si>
    <t>Financial impact of termination, non-vested</t>
  </si>
  <si>
    <t>Financial impact of termination, vested</t>
  </si>
  <si>
    <t>Pension Balance at Retirement</t>
  </si>
  <si>
    <t xml:space="preserve">Growth of member + city funds, compounded biweekly </t>
  </si>
  <si>
    <t>Retired Years</t>
  </si>
  <si>
    <t>Pension payments - retire @ 23 years</t>
  </si>
  <si>
    <t>Purchasing power factoring inflation, COLA</t>
  </si>
  <si>
    <t>Years of Service</t>
  </si>
  <si>
    <t>Benefit</t>
  </si>
  <si>
    <t>Purchasing power of vested benefit by year, starting at age 62, adjusted for inflation, COLA, highest 3 years' salary</t>
  </si>
  <si>
    <t>Pension payments @ constant purchasing power</t>
  </si>
  <si>
    <t>Member + city funds balance after payment, adjusted for multiplier, contribution rates, ROR minus inflation (assumes COLA = inflation)</t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</si>
  <si>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</si>
  <si>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</si>
  <si>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</si>
  <si>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</si>
  <si>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</si>
  <si>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</si>
  <si>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</si>
  <si>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</si>
  <si>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r>
      <t xml:space="preserve">2. Use this year's pay scale to put what you would make throughout your career in cells D19 through Z19. See </t>
    </r>
    <r>
      <rPr>
        <b/>
        <sz val="10"/>
        <rFont val="Arial"/>
      </rPr>
      <t>Notes</t>
    </r>
    <r>
      <rPr>
        <sz val="10"/>
        <color rgb="FF000000"/>
        <rFont val="Arial"/>
      </rPr>
      <t xml:space="preserve"> to the right.</t>
    </r>
  </si>
  <si>
    <r>
      <t xml:space="preserve">4. The </t>
    </r>
    <r>
      <rPr>
        <b/>
        <sz val="10"/>
        <rFont val="Arial"/>
      </rPr>
      <t>Financial Impact of Termination, Non-Vested</t>
    </r>
    <r>
      <rPr>
        <sz val="10"/>
        <color rgb="FF000000"/>
        <rFont val="Arial"/>
      </rPr>
      <t xml:space="preserve"> (line 34) is the defference between the  present value of what your full future pension is worth</t>
    </r>
  </si>
  <si>
    <r>
      <t>7. Discount rate is the near risk-free rate of return used to calculate the present value of future cash flows (</t>
    </r>
    <r>
      <rPr>
        <b/>
        <sz val="10"/>
        <rFont val="Arial"/>
      </rPr>
      <t>Pension Value</t>
    </r>
    <r>
      <rPr>
        <sz val="10"/>
        <color rgb="FF000000"/>
        <rFont val="Arial"/>
      </rPr>
      <t xml:space="preserve"> in AA35)</t>
    </r>
  </si>
  <si>
    <r>
      <t xml:space="preserve">4. The </t>
    </r>
    <r>
      <rPr>
        <b/>
        <sz val="10"/>
        <rFont val="Arial"/>
      </rPr>
      <t>Financial Impact of Termination, Vested</t>
    </r>
    <r>
      <rPr>
        <sz val="10"/>
        <color rgb="FF000000"/>
        <rFont val="Arial"/>
      </rPr>
      <t xml:space="preserve"> (line 35) is the difference between the present value of what your full future pension is worth today</t>
    </r>
  </si>
  <si>
    <t>NA</t>
  </si>
  <si>
    <t>Academy Start Age</t>
  </si>
  <si>
    <t>4. The average of your highest 3 years computes automatically in cell N4 and is displayed in cells AA22 and N7</t>
  </si>
  <si>
    <t>5. You can edit the multiplier to see how it impacts the value of your pension and your benefits</t>
  </si>
  <si>
    <t>Starting Age (LOCKED)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</si>
</sst>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0" x14ac:knownFonts="1">
    <font>
      <sz val="10"/>
      <color rgb="FF000000"/>
      <name val="Arial"/>
    </font>
    <font>
      <b/>
      <i/>
      <sz val="20"/>
      <name val="Arial"/>
    </font>
    <font>
      <b/>
      <sz val="14"/>
      <name val="Arial"/>
    </font>
    <font>
      <b/>
      <sz val="18"/>
      <name val="Arial"/>
    </font>
    <font>
      <b/>
      <sz val="11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sz val="11"/>
      <color rgb="FF000000"/>
      <name val="Arial"/>
    </font>
    <font>
      <sz val="10"/>
      <color rgb="FF000000"/>
      <name val="Arial"/>
    </font>
    <font>
      <sz val="11"/>
      <color rgb="FF7E3794"/>
      <name val="Arial"/>
    </font>
    <font>
      <sz val="11"/>
      <color rgb="FF11A9CC"/>
      <name val="Arial"/>
    </font>
    <font>
      <sz val="11"/>
      <color rgb="FF4285F4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b/>
      <sz val="11"/>
      <name val="Arial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4" xfId="0" applyFont="1" applyBorder="1"/>
    <xf numFmtId="164" fontId="5" fillId="0" borderId="4" xfId="0" applyNumberFormat="1" applyFont="1" applyBorder="1"/>
    <xf numFmtId="0" fontId="6" fillId="0" borderId="0" xfId="0" applyFont="1" applyAlignment="1">
      <alignment horizontal="left"/>
    </xf>
    <xf numFmtId="9" fontId="5" fillId="0" borderId="4" xfId="0" applyNumberFormat="1" applyFont="1" applyBorder="1"/>
    <xf numFmtId="10" fontId="5" fillId="0" borderId="4" xfId="0" applyNumberFormat="1" applyFont="1" applyBorder="1"/>
    <xf numFmtId="0" fontId="7" fillId="0" borderId="0" xfId="0" applyFont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/>
    <xf numFmtId="164" fontId="10" fillId="0" borderId="0" xfId="0" applyNumberFormat="1" applyFont="1"/>
    <xf numFmtId="164" fontId="9" fillId="0" borderId="0" xfId="0" applyNumberFormat="1" applyFont="1" applyAlignment="1">
      <alignment horizontal="right"/>
    </xf>
    <xf numFmtId="0" fontId="0" fillId="0" borderId="0" xfId="0" applyFont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164" fontId="12" fillId="0" borderId="0" xfId="0" applyNumberFormat="1" applyFont="1"/>
    <xf numFmtId="164" fontId="13" fillId="0" borderId="0" xfId="0" applyNumberFormat="1" applyFo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7" fillId="8" borderId="0" xfId="0" applyFont="1" applyFill="1" applyAlignment="1">
      <alignment horizontal="center"/>
    </xf>
    <xf numFmtId="164" fontId="0" fillId="0" borderId="0" xfId="0" applyNumberFormat="1" applyFont="1"/>
    <xf numFmtId="0" fontId="11" fillId="8" borderId="0" xfId="0" applyFont="1" applyFill="1"/>
    <xf numFmtId="164" fontId="0" fillId="0" borderId="0" xfId="0" applyNumberFormat="1" applyFont="1" applyAlignment="1">
      <alignment horizontal="right"/>
    </xf>
    <xf numFmtId="0" fontId="0" fillId="8" borderId="0" xfId="0" applyFont="1" applyFill="1"/>
    <xf numFmtId="0" fontId="7" fillId="8" borderId="0" xfId="0" applyFont="1" applyFill="1"/>
    <xf numFmtId="0" fontId="7" fillId="5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8" borderId="0" xfId="0" applyFont="1" applyFill="1"/>
    <xf numFmtId="0" fontId="11" fillId="0" borderId="0" xfId="0" applyFont="1"/>
    <xf numFmtId="0" fontId="5" fillId="5" borderId="0" xfId="0" applyFont="1" applyFill="1" applyAlignment="1">
      <alignment horizontal="center"/>
    </xf>
    <xf numFmtId="9" fontId="5" fillId="5" borderId="0" xfId="0" applyNumberFormat="1" applyFont="1" applyFill="1" applyAlignment="1">
      <alignment horizontal="center"/>
    </xf>
    <xf numFmtId="164" fontId="11" fillId="5" borderId="0" xfId="0" applyNumberFormat="1" applyFont="1" applyFill="1" applyAlignment="1">
      <alignment horizontal="center"/>
    </xf>
    <xf numFmtId="164" fontId="11" fillId="8" borderId="0" xfId="0" applyNumberFormat="1" applyFont="1" applyFill="1"/>
    <xf numFmtId="0" fontId="11" fillId="0" borderId="0" xfId="0" applyFont="1" applyAlignment="1">
      <alignment horizontal="right"/>
    </xf>
    <xf numFmtId="9" fontId="5" fillId="0" borderId="0" xfId="0" applyNumberFormat="1" applyFont="1"/>
    <xf numFmtId="0" fontId="11" fillId="0" borderId="0" xfId="0" applyFont="1" applyAlignment="1">
      <alignment horizontal="center"/>
    </xf>
    <xf numFmtId="0" fontId="6" fillId="0" borderId="0" xfId="0" applyFont="1"/>
    <xf numFmtId="3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center"/>
    </xf>
    <xf numFmtId="9" fontId="11" fillId="5" borderId="0" xfId="0" applyNumberFormat="1" applyFont="1" applyFill="1" applyAlignment="1">
      <alignment horizontal="center"/>
    </xf>
    <xf numFmtId="164" fontId="5" fillId="8" borderId="0" xfId="0" applyNumberFormat="1" applyFont="1" applyFill="1" applyAlignment="1">
      <alignment horizontal="right"/>
    </xf>
    <xf numFmtId="0" fontId="5" fillId="8" borderId="0" xfId="0" applyFont="1" applyFill="1" applyAlignment="1">
      <alignment horizontal="center"/>
    </xf>
    <xf numFmtId="9" fontId="5" fillId="8" borderId="0" xfId="0" applyNumberFormat="1" applyFont="1" applyFill="1" applyAlignment="1">
      <alignment horizontal="center"/>
    </xf>
    <xf numFmtId="164" fontId="11" fillId="8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9" fillId="0" borderId="0" xfId="0" applyFont="1" applyAlignment="1"/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7" fillId="4" borderId="0" xfId="0" applyFont="1" applyFill="1"/>
    <xf numFmtId="0" fontId="7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9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164" fontId="8" fillId="5" borderId="0" xfId="0" applyNumberFormat="1" applyFont="1" applyFill="1" applyAlignment="1">
      <alignment horizontal="center"/>
    </xf>
    <xf numFmtId="164" fontId="15" fillId="7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7" borderId="0" xfId="0" applyFont="1" applyFill="1" applyAlignment="1">
      <alignment horizontal="center" wrapText="1"/>
    </xf>
    <xf numFmtId="0" fontId="7" fillId="5" borderId="0" xfId="0" applyFont="1" applyFill="1"/>
    <xf numFmtId="0" fontId="16" fillId="7" borderId="0" xfId="0" applyFont="1" applyFill="1"/>
    <xf numFmtId="0" fontId="7" fillId="7" borderId="0" xfId="0" applyFont="1" applyFill="1"/>
    <xf numFmtId="0" fontId="5" fillId="9" borderId="0" xfId="0" applyFont="1" applyFill="1"/>
    <xf numFmtId="0" fontId="0" fillId="10" borderId="0" xfId="0" applyFont="1" applyFill="1" applyAlignment="1"/>
    <xf numFmtId="164" fontId="4" fillId="5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6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19" fillId="0" borderId="1" xfId="0" applyFont="1" applyBorder="1"/>
  </cellXfs>
  <cellStyles count="1">
    <cellStyle name="Normal" xfId="0" builtinId="0"/>
  </cellStyles>
  <dxfs count="5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/>
            </a:pPr>
            <a:r>
              <a:rPr lang="en-US"/>
              <a:t>Pension Value By Academy Start Age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Charts!$A$24</c:f>
              <c:strCache>
                <c:ptCount val="1"/>
                <c:pt idx="0">
                  <c:v>20</c:v>
                </c:pt>
              </c:strCache>
            </c:strRef>
          </c:tx>
          <c:spPr>
            <a:ln w="38100" cmpd="sng">
              <a:solidFill>
                <a:srgbClr val="3366CC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Charts!$B$24:$Z$24</c:f>
              <c:numCache>
                <c:formatCode>"$"#,##0</c:formatCode>
                <c:ptCount val="25"/>
                <c:pt idx="1">
                  <c:v>308609.26211522979</c:v>
                </c:pt>
                <c:pt idx="2">
                  <c:v>330983.43361858395</c:v>
                </c:pt>
                <c:pt idx="3">
                  <c:v>354979.73255593132</c:v>
                </c:pt>
                <c:pt idx="4">
                  <c:v>380715.76316623634</c:v>
                </c:pt>
                <c:pt idx="5">
                  <c:v>408317.65599578846</c:v>
                </c:pt>
                <c:pt idx="6">
                  <c:v>437920.68605548312</c:v>
                </c:pt>
                <c:pt idx="7">
                  <c:v>469669.93579450564</c:v>
                </c:pt>
                <c:pt idx="8">
                  <c:v>503721.00613960729</c:v>
                </c:pt>
                <c:pt idx="9">
                  <c:v>540240.7790847288</c:v>
                </c:pt>
                <c:pt idx="10">
                  <c:v>579408.2355683716</c:v>
                </c:pt>
                <c:pt idx="11">
                  <c:v>621415.33264707855</c:v>
                </c:pt>
                <c:pt idx="12">
                  <c:v>666467.94426399178</c:v>
                </c:pt>
                <c:pt idx="13">
                  <c:v>714786.87022313115</c:v>
                </c:pt>
                <c:pt idx="14">
                  <c:v>766608.91831430816</c:v>
                </c:pt>
                <c:pt idx="15">
                  <c:v>822188.06489209551</c:v>
                </c:pt>
                <c:pt idx="16">
                  <c:v>881796.69959677244</c:v>
                </c:pt>
                <c:pt idx="17">
                  <c:v>945726.96031753847</c:v>
                </c:pt>
                <c:pt idx="18">
                  <c:v>1014292.16494056</c:v>
                </c:pt>
                <c:pt idx="19">
                  <c:v>1087828.3468987506</c:v>
                </c:pt>
                <c:pt idx="20">
                  <c:v>1166695.90204891</c:v>
                </c:pt>
                <c:pt idx="21">
                  <c:v>1251281.3549474559</c:v>
                </c:pt>
                <c:pt idx="22">
                  <c:v>1341999.2531811465</c:v>
                </c:pt>
                <c:pt idx="23">
                  <c:v>1439294.1990367796</c:v>
                </c:pt>
                <c:pt idx="24">
                  <c:v>1543643.0284669462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FC-45EF-A44E-57D03E3D97A8}"/>
            </c:ext>
          </c:extLst>
        </c:ser>
        <c:ser>
          <c:idx val="1"/>
          <c:order val="1"/>
          <c:tx>
            <c:strRef>
              <c:f>Charts!$A$25</c:f>
              <c:strCache>
                <c:ptCount val="1"/>
                <c:pt idx="0">
                  <c:v>25</c:v>
                </c:pt>
              </c:strCache>
            </c:strRef>
          </c:tx>
          <c:spPr>
            <a:ln w="38100" cmpd="sng">
              <a:solidFill>
                <a:srgbClr val="DC3912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Charts!$B$25:$AD$25</c:f>
              <c:numCache>
                <c:formatCode>General</c:formatCode>
                <c:ptCount val="29"/>
                <c:pt idx="5" formatCode="&quot;$&quot;#,##0">
                  <c:v>297880.75047205697</c:v>
                </c:pt>
                <c:pt idx="6" formatCode="&quot;$&quot;#,##0">
                  <c:v>319477.10488128109</c:v>
                </c:pt>
                <c:pt idx="7" formatCode="&quot;$&quot;#,##0">
                  <c:v>342639.19498517399</c:v>
                </c:pt>
                <c:pt idx="8" formatCode="&quot;$&quot;#,##0">
                  <c:v>367480.53662159911</c:v>
                </c:pt>
                <c:pt idx="9" formatCode="&quot;$&quot;#,##0">
                  <c:v>394122.87552666507</c:v>
                </c:pt>
                <c:pt idx="10" formatCode="&quot;$&quot;#,##0">
                  <c:v>422696.78400234831</c:v>
                </c:pt>
                <c:pt idx="11" formatCode="&quot;$&quot;#,##0">
                  <c:v>453342.30084251857</c:v>
                </c:pt>
                <c:pt idx="12" formatCode="&quot;$&quot;#,##0">
                  <c:v>486209.61765360116</c:v>
                </c:pt>
                <c:pt idx="13" formatCode="&quot;$&quot;#,##0">
                  <c:v>521459.81493348727</c:v>
                </c:pt>
                <c:pt idx="14" formatCode="&quot;$&quot;#,##0">
                  <c:v>559265.65151616512</c:v>
                </c:pt>
                <c:pt idx="15" formatCode="&quot;$&quot;#,##0">
                  <c:v>599812.41125108709</c:v>
                </c:pt>
                <c:pt idx="16" formatCode="&quot;$&quot;#,##0">
                  <c:v>643298.81106679095</c:v>
                </c:pt>
                <c:pt idx="17" formatCode="&quot;$&quot;#,##0">
                  <c:v>689937.97486913332</c:v>
                </c:pt>
                <c:pt idx="18" formatCode="&quot;$&quot;#,##0">
                  <c:v>739958.47804714553</c:v>
                </c:pt>
                <c:pt idx="19" formatCode="&quot;$&quot;#,##0">
                  <c:v>793605.46770556353</c:v>
                </c:pt>
                <c:pt idx="20" formatCode="&quot;$&quot;#,##0">
                  <c:v>851141.86411421688</c:v>
                </c:pt>
                <c:pt idx="21" formatCode="&quot;$&quot;#,##0">
                  <c:v>912849.64926249755</c:v>
                </c:pt>
                <c:pt idx="22" formatCode="&quot;$&quot;#,##0">
                  <c:v>979031.24883402861</c:v>
                </c:pt>
                <c:pt idx="23" formatCode="&quot;$&quot;#,##0">
                  <c:v>1050011.0143744957</c:v>
                </c:pt>
                <c:pt idx="24" formatCode="&quot;$&quot;#,##0">
                  <c:v>1126136.8129166467</c:v>
                </c:pt>
                <c:pt idx="25" formatCode="&quot;$&quot;#,##0">
                  <c:v>1207781.7318531037</c:v>
                </c:pt>
                <c:pt idx="26" formatCode="&quot;$&quot;#,##0">
                  <c:v>1295345.9074124538</c:v>
                </c:pt>
                <c:pt idx="27" formatCode="&quot;$&quot;#,##0">
                  <c:v>1389258.4856998567</c:v>
                </c:pt>
                <c:pt idx="28" formatCode="&quot;$&quot;#,##0">
                  <c:v>1489979.7259130962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FC-45EF-A44E-57D03E3D97A8}"/>
            </c:ext>
          </c:extLst>
        </c:ser>
        <c:ser>
          <c:idx val="2"/>
          <c:order val="2"/>
          <c:tx>
            <c:strRef>
              <c:f>Charts!$A$26</c:f>
              <c:strCache>
                <c:ptCount val="1"/>
                <c:pt idx="0">
                  <c:v>30</c:v>
                </c:pt>
              </c:strCache>
            </c:strRef>
          </c:tx>
          <c:spPr>
            <a:ln w="38100" cmpd="sng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Charts!$B$26:$AI$26</c:f>
              <c:numCache>
                <c:formatCode>General</c:formatCode>
                <c:ptCount val="34"/>
                <c:pt idx="10" formatCode="&quot;$&quot;#,##0">
                  <c:v>281714.02837941359</c:v>
                </c:pt>
                <c:pt idx="11" formatCode="&quot;$&quot;#,##0">
                  <c:v>302138.29543692106</c:v>
                </c:pt>
                <c:pt idx="12" formatCode="&quot;$&quot;#,##0">
                  <c:v>324043.32185609784</c:v>
                </c:pt>
                <c:pt idx="13" formatCode="&quot;$&quot;#,##0">
                  <c:v>347536.46269066492</c:v>
                </c:pt>
                <c:pt idx="14" formatCode="&quot;$&quot;#,##0">
                  <c:v>372732.85623573815</c:v>
                </c:pt>
                <c:pt idx="15" formatCode="&quot;$&quot;#,##0">
                  <c:v>399755.98831282917</c:v>
                </c:pt>
                <c:pt idx="16" formatCode="&quot;$&quot;#,##0">
                  <c:v>428738.29746550927</c:v>
                </c:pt>
                <c:pt idx="17" formatCode="&quot;$&quot;#,##0">
                  <c:v>459821.8240317587</c:v>
                </c:pt>
                <c:pt idx="18" formatCode="&quot;$&quot;#,##0">
                  <c:v>493158.90627406118</c:v>
                </c:pt>
                <c:pt idx="19" formatCode="&quot;$&quot;#,##0">
                  <c:v>528912.9269789306</c:v>
                </c:pt>
                <c:pt idx="20" formatCode="&quot;$&quot;#,##0">
                  <c:v>567259.1141849031</c:v>
                </c:pt>
                <c:pt idx="21" formatCode="&quot;$&quot;#,##0">
                  <c:v>608385.39996330859</c:v>
                </c:pt>
                <c:pt idx="22" formatCode="&quot;$&quot;#,##0">
                  <c:v>652493.34146064846</c:v>
                </c:pt>
                <c:pt idx="23" formatCode="&quot;$&quot;#,##0">
                  <c:v>699799.10871654551</c:v>
                </c:pt>
                <c:pt idx="24" formatCode="&quot;$&quot;#,##0">
                  <c:v>750534.54409849504</c:v>
                </c:pt>
                <c:pt idx="25" formatCode="&quot;$&quot;#,##0">
                  <c:v>804948.29854563589</c:v>
                </c:pt>
                <c:pt idx="26" formatCode="&quot;$&quot;#,##0">
                  <c:v>863307.05019019451</c:v>
                </c:pt>
                <c:pt idx="27" formatCode="&quot;$&quot;#,##0">
                  <c:v>925896.81132898363</c:v>
                </c:pt>
                <c:pt idx="28" formatCode="&quot;$&quot;#,##0">
                  <c:v>993024.33015033498</c:v>
                </c:pt>
                <c:pt idx="29" formatCode="&quot;$&quot;#,##0">
                  <c:v>1065018.5940862342</c:v>
                </c:pt>
                <c:pt idx="30" formatCode="&quot;$&quot;#,##0">
                  <c:v>1142232.4421574862</c:v>
                </c:pt>
                <c:pt idx="31" formatCode="&quot;$&quot;#,##0">
                  <c:v>1225044.2942139041</c:v>
                </c:pt>
                <c:pt idx="32" formatCode="&quot;$&quot;#,##0">
                  <c:v>1313860.0055444122</c:v>
                </c:pt>
                <c:pt idx="33" formatCode="&quot;$&quot;#,##0">
                  <c:v>1409114.855946382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BFC-45EF-A44E-57D03E3D97A8}"/>
            </c:ext>
          </c:extLst>
        </c:ser>
        <c:ser>
          <c:idx val="3"/>
          <c:order val="3"/>
          <c:tx>
            <c:strRef>
              <c:f>Charts!$A$27</c:f>
              <c:strCache>
                <c:ptCount val="1"/>
                <c:pt idx="0">
                  <c:v>35</c:v>
                </c:pt>
              </c:strCache>
            </c:strRef>
          </c:tx>
          <c:spPr>
            <a:ln w="38100" cmpd="sng">
              <a:solidFill>
                <a:srgbClr val="109618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Charts!$B$27:$AN$27</c:f>
              <c:numCache>
                <c:formatCode>General</c:formatCode>
                <c:ptCount val="39"/>
                <c:pt idx="15" formatCode="&quot;$&quot;#,##0">
                  <c:v>261830.02771961564</c:v>
                </c:pt>
                <c:pt idx="16" formatCode="&quot;$&quot;#,##0">
                  <c:v>280812.70472928777</c:v>
                </c:pt>
                <c:pt idx="17" formatCode="&quot;$&quot;#,##0">
                  <c:v>301171.62582216115</c:v>
                </c:pt>
                <c:pt idx="18" formatCode="&quot;$&quot;#,##0">
                  <c:v>323006.56869426783</c:v>
                </c:pt>
                <c:pt idx="19" formatCode="&quot;$&quot;#,##0">
                  <c:v>346424.54492460226</c:v>
                </c:pt>
                <c:pt idx="20" formatCode="&quot;$&quot;#,##0">
                  <c:v>371540.32443163591</c:v>
                </c:pt>
                <c:pt idx="21" formatCode="&quot;$&quot;#,##0">
                  <c:v>398476.99795292952</c:v>
                </c:pt>
                <c:pt idx="22" formatCode="&quot;$&quot;#,##0">
                  <c:v>427366.58030451689</c:v>
                </c:pt>
                <c:pt idx="23" formatCode="&quot;$&quot;#,##0">
                  <c:v>458350.65737659438</c:v>
                </c:pt>
                <c:pt idx="24" formatCode="&quot;$&quot;#,##0">
                  <c:v>491581.0800363975</c:v>
                </c:pt>
                <c:pt idx="25" formatCode="&quot;$&quot;#,##0">
                  <c:v>527220.70833903633</c:v>
                </c:pt>
                <c:pt idx="26" formatCode="&quot;$&quot;#,##0">
                  <c:v>565444.20969361649</c:v>
                </c:pt>
                <c:pt idx="27" formatCode="&quot;$&quot;#,##0">
                  <c:v>606438.91489640367</c:v>
                </c:pt>
                <c:pt idx="28" formatCode="&quot;$&quot;#,##0">
                  <c:v>650405.73622639291</c:v>
                </c:pt>
                <c:pt idx="29" formatCode="&quot;$&quot;#,##0">
                  <c:v>697560.15210280637</c:v>
                </c:pt>
                <c:pt idx="30" formatCode="&quot;$&quot;#,##0">
                  <c:v>748133.26313025982</c:v>
                </c:pt>
                <c:pt idx="31" formatCode="&quot;$&quot;#,##0">
                  <c:v>802372.92470720364</c:v>
                </c:pt>
                <c:pt idx="32" formatCode="&quot;$&quot;#,##0">
                  <c:v>860544.96174847591</c:v>
                </c:pt>
                <c:pt idx="33" formatCode="&quot;$&quot;#,##0">
                  <c:v>922934.47147524043</c:v>
                </c:pt>
                <c:pt idx="34" formatCode="&quot;$&quot;#,##0">
                  <c:v>989847.22065719531</c:v>
                </c:pt>
                <c:pt idx="35" formatCode="&quot;$&quot;#,##0">
                  <c:v>1061611.144154842</c:v>
                </c:pt>
                <c:pt idx="36" formatCode="&quot;$&quot;#,##0">
                  <c:v>1138577.9521060681</c:v>
                </c:pt>
                <c:pt idx="37" formatCode="&quot;$&quot;#,##0">
                  <c:v>1221124.8536337581</c:v>
                </c:pt>
                <c:pt idx="38" formatCode="&quot;$&quot;#,##0">
                  <c:v>1309656.4055222056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BFC-45EF-A44E-57D03E3D97A8}"/>
            </c:ext>
          </c:extLst>
        </c:ser>
        <c:ser>
          <c:idx val="4"/>
          <c:order val="4"/>
          <c:tx>
            <c:strRef>
              <c:f>Charts!$A$28</c:f>
              <c:strCache>
                <c:ptCount val="1"/>
                <c:pt idx="0">
                  <c:v>40</c:v>
                </c:pt>
              </c:strCache>
            </c:strRef>
          </c:tx>
          <c:spPr>
            <a:ln w="38100" cmpd="sng">
              <a:solidFill>
                <a:srgbClr val="990099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Charts!$B$28:$AS$28</c:f>
              <c:numCache>
                <c:formatCode>General</c:formatCode>
                <c:ptCount val="44"/>
                <c:pt idx="20" formatCode="&quot;$&quot;#,##0">
                  <c:v>237374.0198799833</c:v>
                </c:pt>
                <c:pt idx="21" formatCode="&quot;$&quot;#,##0">
                  <c:v>254583.6363212821</c:v>
                </c:pt>
                <c:pt idx="22" formatCode="&quot;$&quot;#,##0">
                  <c:v>273040.94995457504</c:v>
                </c:pt>
                <c:pt idx="23" formatCode="&quot;$&quot;#,##0">
                  <c:v>292836.41882628173</c:v>
                </c:pt>
                <c:pt idx="24" formatCode="&quot;$&quot;#,##0">
                  <c:v>314067.05919118715</c:v>
                </c:pt>
                <c:pt idx="25" formatCode="&quot;$&quot;#,##0">
                  <c:v>336836.92098254821</c:v>
                </c:pt>
                <c:pt idx="26" formatCode="&quot;$&quot;#,##0">
                  <c:v>361257.59775378299</c:v>
                </c:pt>
                <c:pt idx="27" formatCode="&quot;$&quot;#,##0">
                  <c:v>387448.77359093225</c:v>
                </c:pt>
                <c:pt idx="28" formatCode="&quot;$&quot;#,##0">
                  <c:v>415538.80967627483</c:v>
                </c:pt>
                <c:pt idx="29" formatCode="&quot;$&quot;#,##0">
                  <c:v>445665.37337780476</c:v>
                </c:pt>
                <c:pt idx="30" formatCode="&quot;$&quot;#,##0">
                  <c:v>477976.1129476956</c:v>
                </c:pt>
                <c:pt idx="31" formatCode="&quot;$&quot;#,##0">
                  <c:v>512629.38113640354</c:v>
                </c:pt>
                <c:pt idx="32" formatCode="&quot;$&quot;#,##0">
                  <c:v>549795.01126879279</c:v>
                </c:pt>
                <c:pt idx="33" formatCode="&quot;$&quot;#,##0">
                  <c:v>589655.14958578022</c:v>
                </c:pt>
                <c:pt idx="34" formatCode="&quot;$&quot;#,##0">
                  <c:v>632405.14793074934</c:v>
                </c:pt>
                <c:pt idx="35" formatCode="&quot;$&quot;#,##0">
                  <c:v>678254.52115572873</c:v>
                </c:pt>
                <c:pt idx="36" formatCode="&quot;$&quot;#,##0">
                  <c:v>727427.97393951903</c:v>
                </c:pt>
                <c:pt idx="37" formatCode="&quot;$&quot;#,##0">
                  <c:v>780166.50205013412</c:v>
                </c:pt>
                <c:pt idx="38" formatCode="&quot;$&quot;#,##0">
                  <c:v>836728.57344876882</c:v>
                </c:pt>
                <c:pt idx="39" formatCode="&quot;$&quot;#,##0">
                  <c:v>897391.39502380462</c:v>
                </c:pt>
                <c:pt idx="40" formatCode="&quot;$&quot;#,##0">
                  <c:v>962452.27116303053</c:v>
                </c:pt>
                <c:pt idx="41" formatCode="&quot;$&quot;#,##0">
                  <c:v>1032230.0608223502</c:v>
                </c:pt>
                <c:pt idx="42" formatCode="&quot;$&quot;#,##0">
                  <c:v>1107066.7402319706</c:v>
                </c:pt>
                <c:pt idx="43" formatCode="&quot;$&quot;#,##0">
                  <c:v>1187329.0788987884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BFC-45EF-A44E-57D03E3D97A8}"/>
            </c:ext>
          </c:extLst>
        </c:ser>
        <c:ser>
          <c:idx val="5"/>
          <c:order val="5"/>
          <c:tx>
            <c:strRef>
              <c:f>Charts!$A$29</c:f>
              <c:strCache>
                <c:ptCount val="1"/>
                <c:pt idx="0">
                  <c:v>45</c:v>
                </c:pt>
              </c:strCache>
            </c:strRef>
          </c:tx>
          <c:spPr>
            <a:ln w="38100" cmpd="sng">
              <a:solidFill>
                <a:srgbClr val="0099C6"/>
              </a:solidFill>
              <a:prstDash val="solid"/>
            </a:ln>
          </c:spPr>
          <c:marker>
            <c:symbol val="none"/>
          </c:marker>
          <c:cat>
            <c:numRef>
              <c:f>Charts!$B$23:$AX$23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Charts!$B$29:$AX$29</c:f>
              <c:numCache>
                <c:formatCode>General</c:formatCode>
                <c:ptCount val="49"/>
                <c:pt idx="25" formatCode="&quot;$&quot;#,##0">
                  <c:v>207294.74510599859</c:v>
                </c:pt>
                <c:pt idx="26" formatCode="&quot;$&quot;#,##0">
                  <c:v>222323.6141261835</c:v>
                </c:pt>
                <c:pt idx="27" formatCode="&quot;$&quot;#,##0">
                  <c:v>238442.07615033179</c:v>
                </c:pt>
                <c:pt idx="28" formatCode="&quot;$&quot;#,##0">
                  <c:v>255729.12667123086</c:v>
                </c:pt>
                <c:pt idx="29" formatCode="&quot;$&quot;#,##0">
                  <c:v>274269.48835489509</c:v>
                </c:pt>
                <c:pt idx="30" formatCode="&quot;$&quot;#,##0">
                  <c:v>294154.02626062499</c:v>
                </c:pt>
                <c:pt idx="31" formatCode="&quot;$&quot;#,##0">
                  <c:v>315480.19316452031</c:v>
                </c:pt>
                <c:pt idx="32" formatCode="&quot;$&quot;#,##0">
                  <c:v>338352.50716894801</c:v>
                </c:pt>
                <c:pt idx="33" formatCode="&quot;$&quot;#,##0">
                  <c:v>362883.06393869675</c:v>
                </c:pt>
                <c:pt idx="34" formatCode="&quot;$&quot;#,##0">
                  <c:v>389192.08607425226</c:v>
                </c:pt>
                <c:pt idx="35" formatCode="&quot;$&quot;#,##0">
                  <c:v>417408.51231463556</c:v>
                </c:pt>
                <c:pt idx="36" formatCode="&quot;$&quot;#,##0">
                  <c:v>447670.62945744663</c:v>
                </c:pt>
                <c:pt idx="37" formatCode="&quot;$&quot;#,##0">
                  <c:v>480126.75009311154</c:v>
                </c:pt>
                <c:pt idx="38" formatCode="&quot;$&quot;#,##0">
                  <c:v>514935.93947486213</c:v>
                </c:pt>
                <c:pt idx="39" formatCode="&quot;$&quot;#,##0">
                  <c:v>552268.79508678964</c:v>
                </c:pt>
                <c:pt idx="40" formatCode="&quot;$&quot;#,##0">
                  <c:v>592308.28273058194</c:v>
                </c:pt>
                <c:pt idx="41" formatCode="&quot;$&quot;#,##0">
                  <c:v>635250.63322854915</c:v>
                </c:pt>
                <c:pt idx="42" formatCode="&quot;$&quot;#,##0">
                  <c:v>681306.30413761898</c:v>
                </c:pt>
                <c:pt idx="43" formatCode="&quot;$&quot;#,##0">
                  <c:v>730701.01118759636</c:v>
                </c:pt>
                <c:pt idx="44" formatCode="&quot;$&quot;#,##0">
                  <c:v>783676.83449869708</c:v>
                </c:pt>
                <c:pt idx="45" formatCode="&quot;$&quot;#,##0">
                  <c:v>840493.40499985265</c:v>
                </c:pt>
                <c:pt idx="46" formatCode="&quot;$&quot;#,##0">
                  <c:v>901429.17686234193</c:v>
                </c:pt>
                <c:pt idx="47" formatCode="&quot;$&quot;#,##0">
                  <c:v>966782.79218486173</c:v>
                </c:pt>
                <c:pt idx="48" formatCode="&quot;$&quot;#,##0">
                  <c:v>1036874.5446182642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BFC-45EF-A44E-57D03E3D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39328"/>
        <c:axId val="111541248"/>
      </c:lineChart>
      <c:catAx>
        <c:axId val="1115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600" b="0" i="0"/>
                </a:pPr>
                <a:r>
                  <a:rPr lang="en-US"/>
                  <a:t>Academy Start Age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 rot="-5400000"/>
          <a:lstStyle/>
          <a:p>
            <a:pPr lvl="0">
              <a:defRPr sz="1600" b="0" i="0"/>
            </a:pPr>
            <a:endParaRPr lang="en-US"/>
          </a:p>
        </c:txPr>
        <c:crossAx val="111541248"/>
        <c:crosses val="autoZero"/>
        <c:auto val="1"/>
        <c:lblAlgn val="ctr"/>
        <c:lblOffset val="100"/>
        <c:noMultiLvlLbl val="1"/>
      </c:catAx>
      <c:valAx>
        <c:axId val="1115412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/>
              </a:solidFill>
            </a:ln>
          </c:spPr>
        </c:min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1600" b="0" i="0"/>
            </a:pPr>
            <a:endParaRPr lang="en-US"/>
          </a:p>
        </c:txPr>
        <c:crossAx val="111539328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</c:legend>
    <c:plotVisOnly val="1"/>
    <c:dispBlanksAs val="zero"/>
    <c:showDLblsOverMax val="1"/>
  </c:chart>
  <c:spPr>
    <a:solidFill>
      <a:srgbClr val="DAEAD7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en-US"/>
              <a:t>Financial Impact of Leaving Before Reaching 20 Years, 0% COLA, 88 Year Life Expectancy				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Charts!$A$51</c:f>
              <c:strCache>
                <c:ptCount val="1"/>
                <c:pt idx="0">
                  <c:v>20</c:v>
                </c:pt>
              </c:strCache>
            </c:strRef>
          </c:tx>
          <c:spPr>
            <a:ln w="38100" cmpd="sng">
              <a:solidFill>
                <a:srgbClr val="3366CC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Charts!$B$51:$V$51</c:f>
              <c:numCache>
                <c:formatCode>"$"#,##0</c:formatCode>
                <c:ptCount val="21"/>
                <c:pt idx="1">
                  <c:v>-300980.73211522977</c:v>
                </c:pt>
                <c:pt idx="2">
                  <c:v>-314794.40361858392</c:v>
                </c:pt>
                <c:pt idx="3">
                  <c:v>-329342.17255593132</c:v>
                </c:pt>
                <c:pt idx="4">
                  <c:v>-345629.67316623632</c:v>
                </c:pt>
                <c:pt idx="5">
                  <c:v>-363783.03599578846</c:v>
                </c:pt>
                <c:pt idx="6">
                  <c:v>-383937.5360554831</c:v>
                </c:pt>
                <c:pt idx="7">
                  <c:v>-405577.20579450566</c:v>
                </c:pt>
                <c:pt idx="8">
                  <c:v>-429518.69613960729</c:v>
                </c:pt>
                <c:pt idx="9">
                  <c:v>-455928.88908472878</c:v>
                </c:pt>
                <c:pt idx="10">
                  <c:v>-484986.76556837163</c:v>
                </c:pt>
                <c:pt idx="11">
                  <c:v>-512723.43178056151</c:v>
                </c:pt>
                <c:pt idx="12">
                  <c:v>-538987.04297361569</c:v>
                </c:pt>
                <c:pt idx="13">
                  <c:v>-566581.82706720312</c:v>
                </c:pt>
                <c:pt idx="14">
                  <c:v>-595592.26963334379</c:v>
                </c:pt>
                <c:pt idx="15">
                  <c:v>-624537.69539303135</c:v>
                </c:pt>
                <c:pt idx="16">
                  <c:v>-644908.70972467749</c:v>
                </c:pt>
                <c:pt idx="17">
                  <c:v>-674110.98412191612</c:v>
                </c:pt>
                <c:pt idx="18">
                  <c:v>-699725.07978879591</c:v>
                </c:pt>
                <c:pt idx="19">
                  <c:v>-732878.13805505075</c:v>
                </c:pt>
                <c:pt idx="20">
                  <c:v>-767613.0589911507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E9-4D05-8133-9C60272DE7DA}"/>
            </c:ext>
          </c:extLst>
        </c:ser>
        <c:ser>
          <c:idx val="1"/>
          <c:order val="1"/>
          <c:tx>
            <c:strRef>
              <c:f>Charts!$A$52</c:f>
              <c:strCache>
                <c:ptCount val="1"/>
                <c:pt idx="0">
                  <c:v>25</c:v>
                </c:pt>
              </c:strCache>
            </c:strRef>
          </c:tx>
          <c:spPr>
            <a:ln w="38100" cmpd="sng">
              <a:solidFill>
                <a:srgbClr val="DC3912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Charts!$B$52:$Z$52</c:f>
              <c:numCache>
                <c:formatCode>General</c:formatCode>
                <c:ptCount val="25"/>
                <c:pt idx="5" formatCode="&quot;$&quot;#,##0">
                  <c:v>-290252.22047205694</c:v>
                </c:pt>
                <c:pt idx="6" formatCode="&quot;$&quot;#,##0">
                  <c:v>-303288.07488128106</c:v>
                </c:pt>
                <c:pt idx="7" formatCode="&quot;$&quot;#,##0">
                  <c:v>-317001.63498517399</c:v>
                </c:pt>
                <c:pt idx="8" formatCode="&quot;$&quot;#,##0">
                  <c:v>-332394.44662159908</c:v>
                </c:pt>
                <c:pt idx="9" formatCode="&quot;$&quot;#,##0">
                  <c:v>-349588.25552666507</c:v>
                </c:pt>
                <c:pt idx="10" formatCode="&quot;$&quot;#,##0">
                  <c:v>-368713.63400234829</c:v>
                </c:pt>
                <c:pt idx="11" formatCode="&quot;$&quot;#,##0">
                  <c:v>-389249.57084251859</c:v>
                </c:pt>
                <c:pt idx="12" formatCode="&quot;$&quot;#,##0">
                  <c:v>-412007.30765360116</c:v>
                </c:pt>
                <c:pt idx="13" formatCode="&quot;$&quot;#,##0">
                  <c:v>-437147.92493348726</c:v>
                </c:pt>
                <c:pt idx="14" formatCode="&quot;$&quot;#,##0">
                  <c:v>-464844.18151616515</c:v>
                </c:pt>
                <c:pt idx="15" formatCode="&quot;$&quot;#,##0">
                  <c:v>-471715.19734570035</c:v>
                </c:pt>
                <c:pt idx="16" formatCode="&quot;$&quot;#,##0">
                  <c:v>-493058.10176592623</c:v>
                </c:pt>
                <c:pt idx="17" formatCode="&quot;$&quot;#,##0">
                  <c:v>-515273.13817337283</c:v>
                </c:pt>
                <c:pt idx="18" formatCode="&quot;$&quot;#,##0">
                  <c:v>-538409.36488579563</c:v>
                </c:pt>
                <c:pt idx="19" formatCode="&quot;$&quot;#,##0">
                  <c:v>-560667.58127285156</c:v>
                </c:pt>
                <c:pt idx="20" formatCode="&quot;$&quot;#,##0">
                  <c:v>-574376.28586770326</c:v>
                </c:pt>
                <c:pt idx="21" formatCode="&quot;$&quot;#,##0">
                  <c:v>-592740.70346735371</c:v>
                </c:pt>
                <c:pt idx="22" formatCode="&quot;$&quot;#,##0">
                  <c:v>-608302.91606004001</c:v>
                </c:pt>
                <c:pt idx="23" formatCode="&quot;$&quot;#,##0">
                  <c:v>-631689.75524174888</c:v>
                </c:pt>
                <c:pt idx="24" formatCode="&quot;$&quot;#,##0">
                  <c:v>-655803.69788610609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E9-4D05-8133-9C60272DE7DA}"/>
            </c:ext>
          </c:extLst>
        </c:ser>
        <c:ser>
          <c:idx val="2"/>
          <c:order val="2"/>
          <c:tx>
            <c:strRef>
              <c:f>Charts!$A$53</c:f>
              <c:strCache>
                <c:ptCount val="1"/>
                <c:pt idx="0">
                  <c:v>30</c:v>
                </c:pt>
              </c:strCache>
            </c:strRef>
          </c:tx>
          <c:spPr>
            <a:ln w="38100" cmpd="sng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Charts!$B$53:$AE$53</c:f>
              <c:numCache>
                <c:formatCode>General</c:formatCode>
                <c:ptCount val="30"/>
                <c:pt idx="10" formatCode="&quot;$&quot;#,##0">
                  <c:v>-274085.49837941356</c:v>
                </c:pt>
                <c:pt idx="11" formatCode="&quot;$&quot;#,##0">
                  <c:v>-285949.26543692104</c:v>
                </c:pt>
                <c:pt idx="12" formatCode="&quot;$&quot;#,##0">
                  <c:v>-298405.76185609784</c:v>
                </c:pt>
                <c:pt idx="13" formatCode="&quot;$&quot;#,##0">
                  <c:v>-312450.3726906649</c:v>
                </c:pt>
                <c:pt idx="14" formatCode="&quot;$&quot;#,##0">
                  <c:v>-328198.23623573815</c:v>
                </c:pt>
                <c:pt idx="15" formatCode="&quot;$&quot;#,##0">
                  <c:v>-345772.83831282915</c:v>
                </c:pt>
                <c:pt idx="16" formatCode="&quot;$&quot;#,##0">
                  <c:v>-364645.56746550929</c:v>
                </c:pt>
                <c:pt idx="17" formatCode="&quot;$&quot;#,##0">
                  <c:v>-385619.51403175871</c:v>
                </c:pt>
                <c:pt idx="18" formatCode="&quot;$&quot;#,##0">
                  <c:v>-408847.01627406117</c:v>
                </c:pt>
                <c:pt idx="19" formatCode="&quot;$&quot;#,##0">
                  <c:v>-434491.45697893063</c:v>
                </c:pt>
                <c:pt idx="20" formatCode="&quot;$&quot;#,##0">
                  <c:v>-409963.06701075262</c:v>
                </c:pt>
                <c:pt idx="21" formatCode="&quot;$&quot;#,##0">
                  <c:v>-423898.40780185879</c:v>
                </c:pt>
                <c:pt idx="22" formatCode="&quot;$&quot;#,##0">
                  <c:v>-438014.91874605202</c:v>
                </c:pt>
                <c:pt idx="23" formatCode="&quot;$&quot;#,##0">
                  <c:v>-452308.33319388825</c:v>
                </c:pt>
                <c:pt idx="24" formatCode="&quot;$&quot;#,##0">
                  <c:v>-464500.15150015627</c:v>
                </c:pt>
                <c:pt idx="25" formatCode="&quot;$&quot;#,##0">
                  <c:v>-468038.55986957613</c:v>
                </c:pt>
                <c:pt idx="26" formatCode="&quot;$&quot;#,##0">
                  <c:v>-479256.7674772403</c:v>
                </c:pt>
                <c:pt idx="27" formatCode="&quot;$&quot;#,##0">
                  <c:v>-470663.63690660673</c:v>
                </c:pt>
                <c:pt idx="28" formatCode="&quot;$&quot;#,##0">
                  <c:v>-479349.76608764584</c:v>
                </c:pt>
                <c:pt idx="29" formatCode="&quot;$&quot;#,##0">
                  <c:v>-487476.44782181818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E9-4D05-8133-9C60272DE7DA}"/>
            </c:ext>
          </c:extLst>
        </c:ser>
        <c:ser>
          <c:idx val="3"/>
          <c:order val="3"/>
          <c:tx>
            <c:strRef>
              <c:f>Charts!$A$54</c:f>
              <c:strCache>
                <c:ptCount val="1"/>
                <c:pt idx="0">
                  <c:v>35</c:v>
                </c:pt>
              </c:strCache>
            </c:strRef>
          </c:tx>
          <c:spPr>
            <a:ln w="38100" cmpd="sng">
              <a:solidFill>
                <a:srgbClr val="109618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Charts!$B$54:$AJ$54</c:f>
              <c:numCache>
                <c:formatCode>General</c:formatCode>
                <c:ptCount val="35"/>
                <c:pt idx="15" formatCode="&quot;$&quot;#,##0">
                  <c:v>-254201.49771961564</c:v>
                </c:pt>
                <c:pt idx="16" formatCode="&quot;$&quot;#,##0">
                  <c:v>-264623.67472928774</c:v>
                </c:pt>
                <c:pt idx="17" formatCode="&quot;$&quot;#,##0">
                  <c:v>-275534.06582216115</c:v>
                </c:pt>
                <c:pt idx="18" formatCode="&quot;$&quot;#,##0">
                  <c:v>-287920.4786942678</c:v>
                </c:pt>
                <c:pt idx="19" formatCode="&quot;$&quot;#,##0">
                  <c:v>-301889.92492460227</c:v>
                </c:pt>
                <c:pt idx="20" formatCode="&quot;$&quot;#,##0">
                  <c:v>-317557.17443163588</c:v>
                </c:pt>
                <c:pt idx="21" formatCode="&quot;$&quot;#,##0">
                  <c:v>-334384.26795292954</c:v>
                </c:pt>
                <c:pt idx="22" formatCode="&quot;$&quot;#,##0">
                  <c:v>-353164.27030451689</c:v>
                </c:pt>
                <c:pt idx="23" formatCode="&quot;$&quot;#,##0">
                  <c:v>-374038.76737659436</c:v>
                </c:pt>
                <c:pt idx="24" formatCode="&quot;$&quot;#,##0">
                  <c:v>-397159.61003639747</c:v>
                </c:pt>
                <c:pt idx="25" formatCode="&quot;$&quot;#,##0">
                  <c:v>-334070.16507361311</c:v>
                </c:pt>
                <c:pt idx="26" formatCode="&quot;$&quot;#,##0">
                  <c:v>-338904.74222730484</c:v>
                </c:pt>
                <c:pt idx="27" formatCode="&quot;$&quot;#,##0">
                  <c:v>-343071.68723702175</c:v>
                </c:pt>
                <c:pt idx="28" formatCode="&quot;$&quot;#,##0">
                  <c:v>-346501.22874403367</c:v>
                </c:pt>
                <c:pt idx="29" formatCode="&quot;$&quot;#,##0">
                  <c:v>-346326.28885259433</c:v>
                </c:pt>
                <c:pt idx="30" formatCode="&quot;$&quot;#,##0">
                  <c:v>-334934.0498451356</c:v>
                </c:pt>
                <c:pt idx="31" formatCode="&quot;$&quot;#,##0">
                  <c:v>-319698.75171448488</c:v>
                </c:pt>
                <c:pt idx="32" formatCode="&quot;$&quot;#,##0">
                  <c:v>-301544.67832256702</c:v>
                </c:pt>
                <c:pt idx="33" formatCode="&quot;$&quot;#,##0">
                  <c:v>-292171.50639900984</c:v>
                </c:pt>
                <c:pt idx="34" formatCode="&quot;$&quot;#,##0">
                  <c:v>-280658.52002732595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7E9-4D05-8133-9C60272DE7DA}"/>
            </c:ext>
          </c:extLst>
        </c:ser>
        <c:ser>
          <c:idx val="4"/>
          <c:order val="4"/>
          <c:tx>
            <c:strRef>
              <c:f>Charts!$A$55</c:f>
              <c:strCache>
                <c:ptCount val="1"/>
                <c:pt idx="0">
                  <c:v>40</c:v>
                </c:pt>
              </c:strCache>
            </c:strRef>
          </c:tx>
          <c:spPr>
            <a:ln w="38100" cmpd="sng">
              <a:solidFill>
                <a:srgbClr val="990099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Charts!$B$55:$AO$55</c:f>
              <c:numCache>
                <c:formatCode>General</c:formatCode>
                <c:ptCount val="40"/>
                <c:pt idx="20" formatCode="&quot;$&quot;#,##0">
                  <c:v>-229745.4898799833</c:v>
                </c:pt>
                <c:pt idx="21" formatCode="&quot;$&quot;#,##0">
                  <c:v>-238394.6063212821</c:v>
                </c:pt>
                <c:pt idx="22" formatCode="&quot;$&quot;#,##0">
                  <c:v>-247403.38995457505</c:v>
                </c:pt>
                <c:pt idx="23" formatCode="&quot;$&quot;#,##0">
                  <c:v>-257750.32882628174</c:v>
                </c:pt>
                <c:pt idx="24" formatCode="&quot;$&quot;#,##0">
                  <c:v>-269532.43919118715</c:v>
                </c:pt>
                <c:pt idx="25" formatCode="&quot;$&quot;#,##0">
                  <c:v>-282853.77098254819</c:v>
                </c:pt>
                <c:pt idx="26" formatCode="&quot;$&quot;#,##0">
                  <c:v>-297164.86775378301</c:v>
                </c:pt>
                <c:pt idx="27" formatCode="&quot;$&quot;#,##0">
                  <c:v>-313246.46359093225</c:v>
                </c:pt>
                <c:pt idx="28" formatCode="&quot;$&quot;#,##0">
                  <c:v>-331226.91967627482</c:v>
                </c:pt>
                <c:pt idx="29" formatCode="&quot;$&quot;#,##0">
                  <c:v>-351243.90337780479</c:v>
                </c:pt>
                <c:pt idx="30" formatCode="&quot;$&quot;#,##0">
                  <c:v>-240798.30057442302</c:v>
                </c:pt>
                <c:pt idx="31" formatCode="&quot;$&quot;#,##0">
                  <c:v>-234451.88082240644</c:v>
                </c:pt>
                <c:pt idx="32" formatCode="&quot;$&quot;#,##0">
                  <c:v>-226395.12923362799</c:v>
                </c:pt>
                <c:pt idx="33" formatCode="&quot;$&quot;#,##0">
                  <c:v>-216477.8080341547</c:v>
                </c:pt>
                <c:pt idx="34" formatCode="&quot;$&quot;#,##0">
                  <c:v>-201110.066339274</c:v>
                </c:pt>
                <c:pt idx="35" formatCode="&quot;$&quot;#,##0">
                  <c:v>-170869.53623931878</c:v>
                </c:pt>
                <c:pt idx="36" formatCode="&quot;$&quot;#,##0">
                  <c:v>-134731.71482428454</c:v>
                </c:pt>
                <c:pt idx="37" formatCode="&quot;$&quot;#,##0">
                  <c:v>-93746.147763040266</c:v>
                </c:pt>
                <c:pt idx="38" formatCode="&quot;$&quot;#,##0">
                  <c:v>-62187.753352403408</c:v>
                </c:pt>
                <c:pt idx="39" formatCode="&quot;$&quot;#,##0">
                  <c:v>-26548.260277379188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7E9-4D05-8133-9C60272DE7DA}"/>
            </c:ext>
          </c:extLst>
        </c:ser>
        <c:ser>
          <c:idx val="5"/>
          <c:order val="5"/>
          <c:tx>
            <c:strRef>
              <c:f>Charts!$A$56</c:f>
              <c:strCache>
                <c:ptCount val="1"/>
                <c:pt idx="0">
                  <c:v>45</c:v>
                </c:pt>
              </c:strCache>
            </c:strRef>
          </c:tx>
          <c:spPr>
            <a:ln w="38100" cmpd="sng">
              <a:solidFill>
                <a:srgbClr val="0099C6"/>
              </a:solidFill>
              <a:prstDash val="solid"/>
            </a:ln>
          </c:spPr>
          <c:marker>
            <c:symbol val="none"/>
          </c:marker>
          <c:cat>
            <c:numRef>
              <c:f>Charts!$B$50:$AX$50</c:f>
              <c:numCache>
                <c:formatCode>General</c:formatCode>
                <c:ptCount val="49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</c:numCache>
            </c:numRef>
          </c:cat>
          <c:val>
            <c:numRef>
              <c:f>Charts!$B$56:$AT$56</c:f>
              <c:numCache>
                <c:formatCode>General</c:formatCode>
                <c:ptCount val="45"/>
                <c:pt idx="25" formatCode="&quot;$&quot;#,##0">
                  <c:v>-199666.21510599859</c:v>
                </c:pt>
                <c:pt idx="26" formatCode="&quot;$&quot;#,##0">
                  <c:v>-206134.5841261835</c:v>
                </c:pt>
                <c:pt idx="27" formatCode="&quot;$&quot;#,##0">
                  <c:v>-212804.51615033179</c:v>
                </c:pt>
                <c:pt idx="28" formatCode="&quot;$&quot;#,##0">
                  <c:v>-220643.03667123086</c:v>
                </c:pt>
                <c:pt idx="29" formatCode="&quot;$&quot;#,##0">
                  <c:v>-229734.86835489509</c:v>
                </c:pt>
                <c:pt idx="30" formatCode="&quot;$&quot;#,##0">
                  <c:v>-240170.87626062499</c:v>
                </c:pt>
                <c:pt idx="31" formatCode="&quot;$&quot;#,##0">
                  <c:v>-251387.4631645203</c:v>
                </c:pt>
                <c:pt idx="32" formatCode="&quot;$&quot;#,##0">
                  <c:v>-264150.19716894801</c:v>
                </c:pt>
                <c:pt idx="33" formatCode="&quot;$&quot;#,##0">
                  <c:v>-278571.17393869674</c:v>
                </c:pt>
                <c:pt idx="34" formatCode="&quot;$&quot;#,##0">
                  <c:v>-294770.61607425229</c:v>
                </c:pt>
                <c:pt idx="35" formatCode="&quot;$&quot;#,##0">
                  <c:v>-126167.7333287372</c:v>
                </c:pt>
                <c:pt idx="36" formatCode="&quot;$&quot;#,##0">
                  <c:v>-106084.58025190869</c:v>
                </c:pt>
                <c:pt idx="37" formatCode="&quot;$&quot;#,##0">
                  <c:v>-83010.204386735102</c:v>
                </c:pt>
                <c:pt idx="38" formatCode="&quot;$&quot;#,##0">
                  <c:v>-56695.522439842462</c:v>
                </c:pt>
                <c:pt idx="39" formatCode="&quot;$&quot;#,##0">
                  <c:v>-22663.119587090798</c:v>
                </c:pt>
                <c:pt idx="40" formatCode="&quot;$&quot;#,##0">
                  <c:v>30731.43913108937</c:v>
                </c:pt>
                <c:pt idx="41" formatCode="&quot;$&quot;#,##0">
                  <c:v>92546.450653319829</c:v>
                </c:pt>
                <c:pt idx="42" formatCode="&quot;$&quot;#,##0">
                  <c:v>176750.53277492826</c:v>
                </c:pt>
                <c:pt idx="43" formatCode="&quot;$&quot;#,##0">
                  <c:v>178242.4563229538</c:v>
                </c:pt>
                <c:pt idx="44" formatCode="&quot;$&quot;#,##0">
                  <c:v>174316.63210917031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7E9-4D05-8133-9C60272DE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35680"/>
        <c:axId val="111739264"/>
      </c:lineChart>
      <c:catAx>
        <c:axId val="11133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600" b="0" i="0"/>
                </a:pPr>
                <a:r>
                  <a:rPr lang="en-US"/>
                  <a:t>Age That You Started The Academy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sz="1600" b="0" i="0"/>
            </a:pPr>
            <a:endParaRPr lang="en-US"/>
          </a:p>
        </c:txPr>
        <c:crossAx val="111739264"/>
        <c:crosses val="autoZero"/>
        <c:auto val="1"/>
        <c:lblAlgn val="ctr"/>
        <c:lblOffset val="100"/>
        <c:noMultiLvlLbl val="1"/>
      </c:catAx>
      <c:valAx>
        <c:axId val="1117392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1600" b="0" i="0"/>
            </a:pPr>
            <a:endParaRPr lang="en-US"/>
          </a:p>
        </c:txPr>
        <c:crossAx val="111335680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</c:legend>
    <c:plotVisOnly val="1"/>
    <c:dispBlanksAs val="zero"/>
    <c:showDLblsOverMax val="1"/>
  </c:chart>
  <c:spPr>
    <a:solidFill>
      <a:srgbClr val="F4DCDC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38100</xdr:rowOff>
    </xdr:from>
    <xdr:ext cx="9010650" cy="4191000"/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276225</xdr:colOff>
      <xdr:row>29</xdr:row>
      <xdr:rowOff>47625</xdr:rowOff>
    </xdr:from>
    <xdr:ext cx="9010650" cy="3771900"/>
    <xdr:graphicFrame macro="">
      <xdr:nvGraphicFramePr>
        <xdr:cNvPr id="3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P1000"/>
  <sheetViews>
    <sheetView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68" width="8.5703125" customWidth="1"/>
  </cols>
  <sheetData>
    <row r="1" spans="1:68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</row>
    <row r="2" spans="1:68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</row>
    <row r="3" spans="1:68" ht="15.75" customHeight="1" x14ac:dyDescent="0.25">
      <c r="A3" s="68" t="s">
        <v>4</v>
      </c>
      <c r="B3" s="63"/>
      <c r="C3" s="63"/>
      <c r="D3" s="63"/>
      <c r="E3" s="63"/>
      <c r="F3" s="63"/>
      <c r="G3" s="63"/>
      <c r="H3" s="63"/>
      <c r="I3" s="63"/>
      <c r="J3" s="69" t="s">
        <v>88</v>
      </c>
      <c r="K3" s="70"/>
      <c r="L3" s="70"/>
      <c r="M3" s="71"/>
      <c r="N3" s="5">
        <v>21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</row>
    <row r="4" spans="1:68" ht="15.75" customHeight="1" x14ac:dyDescent="0.25">
      <c r="A4" s="72" t="s">
        <v>6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</row>
    <row r="5" spans="1:68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</row>
    <row r="6" spans="1:68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15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8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19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</row>
    <row r="8" spans="1:68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</row>
    <row r="9" spans="1:68" ht="15.75" customHeight="1" x14ac:dyDescent="0.25">
      <c r="A9" s="72" t="s">
        <v>24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27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</row>
    <row r="10" spans="1:68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1:68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</row>
    <row r="12" spans="1:68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</row>
    <row r="13" spans="1:68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</row>
    <row r="14" spans="1:68" ht="15.75" customHeight="1" x14ac:dyDescent="0.25">
      <c r="A14" s="68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</row>
    <row r="15" spans="1:68" ht="15.75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</row>
    <row r="16" spans="1:68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</row>
    <row r="17" spans="1:55" ht="15.75" customHeight="1" x14ac:dyDescent="0.25">
      <c r="A17" s="87" t="s">
        <v>45</v>
      </c>
      <c r="B17" s="63"/>
      <c r="C17" s="63"/>
      <c r="D17" s="12">
        <v>21</v>
      </c>
      <c r="E17" s="12">
        <v>22</v>
      </c>
      <c r="F17" s="61">
        <v>23</v>
      </c>
      <c r="G17" s="61">
        <v>24</v>
      </c>
      <c r="H17" s="61">
        <v>25</v>
      </c>
      <c r="I17" s="61">
        <v>26</v>
      </c>
      <c r="J17" s="61">
        <v>27</v>
      </c>
      <c r="K17" s="61">
        <v>28</v>
      </c>
      <c r="L17" s="61">
        <v>29</v>
      </c>
      <c r="M17" s="61">
        <v>30</v>
      </c>
      <c r="N17" s="61">
        <v>31</v>
      </c>
      <c r="O17" s="61">
        <v>32</v>
      </c>
      <c r="P17" s="61">
        <v>33</v>
      </c>
      <c r="Q17" s="61">
        <v>34</v>
      </c>
      <c r="R17" s="61">
        <v>35</v>
      </c>
      <c r="S17" s="61">
        <v>36</v>
      </c>
      <c r="T17" s="61">
        <v>37</v>
      </c>
      <c r="U17" s="61">
        <v>38</v>
      </c>
      <c r="V17" s="61">
        <v>39</v>
      </c>
      <c r="W17" s="61">
        <v>40</v>
      </c>
      <c r="X17" s="61">
        <v>41</v>
      </c>
      <c r="Y17" s="61">
        <v>42</v>
      </c>
      <c r="Z17" s="61">
        <v>43</v>
      </c>
      <c r="AA17" s="84">
        <v>44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55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55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55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55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55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55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55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55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55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55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55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55" ht="15.75" customHeight="1" x14ac:dyDescent="0.25">
      <c r="A30" s="78" t="s">
        <v>57</v>
      </c>
      <c r="B30" s="63"/>
      <c r="C30" s="63"/>
      <c r="D30" s="13">
        <f>ABS(PV(N8,1,0,E30))</f>
        <v>308609.26211522979</v>
      </c>
      <c r="E30" s="13">
        <f>ABS(PV(N8,1,0,F30))</f>
        <v>330983.43361858395</v>
      </c>
      <c r="F30" s="13">
        <f>ABS(PV(N8,1,0,G30))</f>
        <v>354979.73255593132</v>
      </c>
      <c r="G30" s="13">
        <f>ABS(PV(N8,1,0,H30))</f>
        <v>380715.76316623634</v>
      </c>
      <c r="H30" s="13">
        <f>ABS(PV(N8,1,0,I30))</f>
        <v>408317.65599578846</v>
      </c>
      <c r="I30" s="13">
        <f>ABS(PV(N8,1,0,J30))</f>
        <v>437920.68605548312</v>
      </c>
      <c r="J30" s="13">
        <f>ABS(PV(N8,1,0,K30))</f>
        <v>469669.93579450564</v>
      </c>
      <c r="K30" s="13">
        <f>ABS(PV(N8,1,0,L30))</f>
        <v>503721.00613960729</v>
      </c>
      <c r="L30" s="13">
        <f>ABS(PV(N8,1,0,M30))</f>
        <v>540240.7790847288</v>
      </c>
      <c r="M30" s="13">
        <f>ABS(PV(N8,1,0,N30))</f>
        <v>579408.2355683716</v>
      </c>
      <c r="N30" s="13">
        <f>ABS(PV(N8,1,0,O30))</f>
        <v>621415.33264707855</v>
      </c>
      <c r="O30" s="13">
        <f>ABS(PV(N8,1,0,P30))</f>
        <v>666467.94426399178</v>
      </c>
      <c r="P30" s="13">
        <f>ABS(PV(N8,1,0,Q30))</f>
        <v>714786.87022313115</v>
      </c>
      <c r="Q30" s="13">
        <f>ABS(PV(N8,1,0,R30))</f>
        <v>766608.91831430816</v>
      </c>
      <c r="R30" s="13">
        <f>ABS(PV(N8,1,0,S30))</f>
        <v>822188.06489209551</v>
      </c>
      <c r="S30" s="13">
        <f>ABS(PV(N8,1,0,T30))</f>
        <v>881796.69959677244</v>
      </c>
      <c r="T30" s="13">
        <f>ABS(PV(N8,1,0,U30))</f>
        <v>945726.96031753847</v>
      </c>
      <c r="U30" s="13">
        <f>ABS(PV(N8,1,0,V30))</f>
        <v>1014292.16494056</v>
      </c>
      <c r="V30" s="13">
        <f>ABS(PV(N8,1,0,W30))</f>
        <v>1087828.3468987506</v>
      </c>
      <c r="W30" s="13">
        <f>ABS(PV(N8,1,0,X30))</f>
        <v>1166695.90204891</v>
      </c>
      <c r="X30" s="13">
        <f>ABS(PV(N8,1,0,Y30))</f>
        <v>1251281.3549474559</v>
      </c>
      <c r="Y30" s="13">
        <f>ABS(PV(N8,1,0,Z30))</f>
        <v>1341999.2531811465</v>
      </c>
      <c r="Z30" s="13">
        <f>ABS(PV(N8,1,0,AA30))</f>
        <v>1439294.1990367796</v>
      </c>
      <c r="AA30" s="73">
        <f t="array" ref="AA30">NPV(N9,D42:BC42)</f>
        <v>1543643.0284669462</v>
      </c>
      <c r="AB30" s="63"/>
      <c r="AC30" s="14"/>
    </row>
    <row r="31" spans="1:55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55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NPV(N9,0,0,0,0,0,0,0,0,0,0,0,0,0,0,0,0,0,0,0,0,0,0,0,0,0,0,0,0,0,0,0,V54:BC54)</f>
        <v>108691.90086651705</v>
      </c>
      <c r="O32" s="22">
        <f t="array" ref="O32">NPV(N9,0,0,0,0,0,0,0,0,0,0,0,0,0,0,0,0,0,0,0,0,0,0,0,0,0,0,0,0,0,0,V53:BC53)</f>
        <v>127480.90129037607</v>
      </c>
      <c r="P32" s="22">
        <f t="array" ref="P32">NPV(N9,0,0,0,0,0,0,0,0,0,0,0,0,0,0,0,0,0,0,0,0,0,0,0,0,0,0,0,0,0,V52:BC52)</f>
        <v>148205.043155928</v>
      </c>
      <c r="Q32" s="22">
        <f t="array" ref="Q32">NPV(N9,0,0,0,0,0,0,0,0,0,0,0,0,0,0,0,0,0,0,0,0,0,0,0,0,0,0,0,0,V51:BC51)</f>
        <v>171016.64868096437</v>
      </c>
      <c r="R32" s="22">
        <f t="array" ref="R32">NPV(N9,0,0,0,0,0,0,0,0,0,0,0,0,0,0,0,0,0,0,0,0,0,0,0,0,0,0,0,V50:BC50)</f>
        <v>197650.36949906414</v>
      </c>
      <c r="S32" s="22">
        <f t="array" ref="S32">NPV(N9,0,0,0,0,0,0,0,0,0,0,0,0,0,0,0,0,0,0,0,0,0,0,0,0,0,0,V49:BC49)</f>
        <v>236887.98987209494</v>
      </c>
      <c r="T32" s="22">
        <f t="array" ref="T32">NPV(N9,0,0,0,0,0,0,0,0,0,0,0,0,0,0,0,0,0,0,0,0,0,0,0,0,0,V48:BC48)</f>
        <v>271615.97619562235</v>
      </c>
      <c r="U32" s="21">
        <f t="array" ref="U32">NPV(N9,0,0,0,0,0,0,0,0,0,0,0,0,0,0,0,0,0,0,0,0,0,0,0,0,V47:BC47)</f>
        <v>314567.0851517641</v>
      </c>
      <c r="V32" s="22">
        <f t="array" ref="V32">NPV(N9,0,0,0,0,0,0,0,0,0,0,0,0,0,0,0,0,0,0,0,0,0,0,0,V46:BC46)</f>
        <v>354950.20884369989</v>
      </c>
      <c r="W32" s="22">
        <f t="array" ref="W32">NPV(N9,0,0,0,0,0,0,0,0,0,0,0,0,0,0,0,0,0,0,0,0,0,0,V45:BC45)</f>
        <v>399082.84305775934</v>
      </c>
      <c r="X32" s="23"/>
      <c r="Y32" s="13"/>
      <c r="Z32" s="13"/>
      <c r="AA32" s="13"/>
    </row>
    <row r="33" spans="1:68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68" ht="15.75" customHeight="1" x14ac:dyDescent="0.2">
      <c r="A34" s="88" t="s">
        <v>60</v>
      </c>
      <c r="B34" s="63"/>
      <c r="C34" s="63"/>
      <c r="D34" s="13">
        <f t="shared" ref="D34:M34" si="5">D31-D30</f>
        <v>-300980.73211522977</v>
      </c>
      <c r="E34" s="13">
        <f t="shared" si="5"/>
        <v>-314794.40361858392</v>
      </c>
      <c r="F34" s="13">
        <f t="shared" si="5"/>
        <v>-329342.17255593132</v>
      </c>
      <c r="G34" s="13">
        <f t="shared" si="5"/>
        <v>-345629.67316623632</v>
      </c>
      <c r="H34" s="13">
        <f t="shared" si="5"/>
        <v>-363783.03599578846</v>
      </c>
      <c r="I34" s="13">
        <f t="shared" si="5"/>
        <v>-383937.5360554831</v>
      </c>
      <c r="J34" s="13">
        <f t="shared" si="5"/>
        <v>-405577.20579450566</v>
      </c>
      <c r="K34" s="13">
        <f t="shared" si="5"/>
        <v>-429518.69613960729</v>
      </c>
      <c r="L34" s="13">
        <f t="shared" si="5"/>
        <v>-455928.88908472878</v>
      </c>
      <c r="M34" s="13">
        <f t="shared" si="5"/>
        <v>-484986.76556837163</v>
      </c>
      <c r="X34" s="15"/>
      <c r="Y34" s="15"/>
      <c r="Z34" s="15"/>
      <c r="AA34" s="15"/>
    </row>
    <row r="35" spans="1:68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-512723.43178056151</v>
      </c>
      <c r="O35" s="13">
        <f t="shared" si="6"/>
        <v>-538987.04297361569</v>
      </c>
      <c r="P35" s="13">
        <f t="shared" si="6"/>
        <v>-566581.82706720312</v>
      </c>
      <c r="Q35" s="13">
        <f t="shared" si="6"/>
        <v>-595592.26963334379</v>
      </c>
      <c r="R35" s="13">
        <f t="shared" si="6"/>
        <v>-624537.69539303135</v>
      </c>
      <c r="S35" s="13">
        <f t="shared" si="6"/>
        <v>-644908.70972467749</v>
      </c>
      <c r="T35" s="13">
        <f t="shared" si="6"/>
        <v>-674110.98412191612</v>
      </c>
      <c r="U35" s="13">
        <f t="shared" si="6"/>
        <v>-699725.07978879591</v>
      </c>
      <c r="V35" s="13">
        <f t="shared" si="6"/>
        <v>-732878.13805505075</v>
      </c>
      <c r="W35" s="13">
        <f t="shared" si="6"/>
        <v>-767613.0589911507</v>
      </c>
      <c r="X35" s="15"/>
      <c r="Y35" s="15"/>
      <c r="Z35" s="15"/>
      <c r="AA35" s="77" t="s">
        <v>62</v>
      </c>
      <c r="AB35" s="63"/>
    </row>
    <row r="36" spans="1:68" ht="15.75" customHeight="1" x14ac:dyDescent="0.2">
      <c r="A36" s="63"/>
      <c r="B36" s="63"/>
      <c r="C36" s="63"/>
      <c r="AA36" s="63"/>
      <c r="AB36" s="63"/>
    </row>
    <row r="37" spans="1:68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68" ht="15.75" customHeight="1" x14ac:dyDescent="0.2"/>
    <row r="39" spans="1:68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</row>
    <row r="40" spans="1:68" ht="15.75" customHeight="1" x14ac:dyDescent="0.2">
      <c r="A40" s="87" t="s">
        <v>45</v>
      </c>
      <c r="B40" s="63"/>
      <c r="C40" s="63"/>
      <c r="D40" s="11">
        <v>44</v>
      </c>
      <c r="E40" s="11">
        <v>45</v>
      </c>
      <c r="F40" s="60">
        <v>46</v>
      </c>
      <c r="G40" s="60">
        <v>47</v>
      </c>
      <c r="H40" s="60">
        <v>48</v>
      </c>
      <c r="I40" s="60">
        <v>49</v>
      </c>
      <c r="J40" s="60">
        <v>50</v>
      </c>
      <c r="K40" s="60">
        <v>51</v>
      </c>
      <c r="L40" s="60">
        <v>52</v>
      </c>
      <c r="M40" s="60">
        <v>53</v>
      </c>
      <c r="N40" s="60">
        <v>54</v>
      </c>
      <c r="O40" s="60">
        <v>55</v>
      </c>
      <c r="P40" s="60">
        <v>56</v>
      </c>
      <c r="Q40" s="60">
        <v>57</v>
      </c>
      <c r="R40" s="60">
        <v>58</v>
      </c>
      <c r="S40" s="60">
        <v>59</v>
      </c>
      <c r="T40" s="60">
        <v>60</v>
      </c>
      <c r="U40" s="60">
        <v>61</v>
      </c>
      <c r="V40" s="60">
        <v>62</v>
      </c>
      <c r="W40" s="60">
        <v>63</v>
      </c>
      <c r="X40" s="60">
        <v>64</v>
      </c>
      <c r="Y40" s="60">
        <v>65</v>
      </c>
      <c r="Z40" s="60">
        <v>66</v>
      </c>
      <c r="AA40" s="60">
        <v>67</v>
      </c>
      <c r="AB40" s="60">
        <v>68</v>
      </c>
      <c r="AC40" s="60">
        <v>69</v>
      </c>
      <c r="AD40" s="60">
        <v>70</v>
      </c>
      <c r="AE40" s="60">
        <v>71</v>
      </c>
      <c r="AF40" s="60">
        <v>72</v>
      </c>
      <c r="AG40" s="60">
        <v>73</v>
      </c>
      <c r="AH40" s="60">
        <v>74</v>
      </c>
      <c r="AI40" s="60">
        <v>75</v>
      </c>
      <c r="AJ40" s="60">
        <v>76</v>
      </c>
      <c r="AK40" s="60">
        <v>77</v>
      </c>
      <c r="AL40" s="60">
        <v>78</v>
      </c>
      <c r="AM40" s="60">
        <v>79</v>
      </c>
      <c r="AN40" s="60">
        <v>80</v>
      </c>
      <c r="AO40" s="60">
        <v>81</v>
      </c>
      <c r="AP40" s="60">
        <v>82</v>
      </c>
      <c r="AQ40" s="60">
        <v>83</v>
      </c>
      <c r="AR40" s="60">
        <v>84</v>
      </c>
      <c r="AS40" s="60">
        <v>85</v>
      </c>
      <c r="AT40" s="60">
        <v>86</v>
      </c>
      <c r="AU40" s="60">
        <v>87</v>
      </c>
      <c r="AV40" s="60">
        <v>88</v>
      </c>
      <c r="AW40" s="60">
        <v>89</v>
      </c>
      <c r="AX40" s="60">
        <v>90</v>
      </c>
      <c r="AY40" s="60">
        <v>91</v>
      </c>
      <c r="AZ40" s="60">
        <v>92</v>
      </c>
      <c r="BA40" s="60">
        <v>93</v>
      </c>
      <c r="BB40" s="60">
        <v>94</v>
      </c>
      <c r="BC40" s="60">
        <v>95</v>
      </c>
    </row>
    <row r="41" spans="1:68" ht="15.75" customHeight="1" x14ac:dyDescent="0.2">
      <c r="A41" s="78" t="s">
        <v>65</v>
      </c>
      <c r="B41" s="63"/>
      <c r="C41" s="63"/>
      <c r="D41" s="14">
        <f>IF(N12&lt;=D40,0,AA19)</f>
        <v>76429.183999999994</v>
      </c>
      <c r="E41" s="14">
        <f>IF(N12&lt;=E40,0,AA19)</f>
        <v>76429.183999999994</v>
      </c>
      <c r="F41" s="14">
        <f>IF(N12&lt;=F40,0,AA19)</f>
        <v>76429.183999999994</v>
      </c>
      <c r="G41" s="14">
        <f>IF(N12&lt;=G40,0,AA19)</f>
        <v>76429.183999999994</v>
      </c>
      <c r="H41" s="14">
        <f>IF(N12&lt;=H40,0,AA19)</f>
        <v>76429.183999999994</v>
      </c>
      <c r="I41" s="22">
        <f>IF(N12&lt;=I40,0,AA19)</f>
        <v>76429.183999999994</v>
      </c>
      <c r="J41" s="22">
        <f>IF(N12&lt;=J40,0,AA19)</f>
        <v>76429.183999999994</v>
      </c>
      <c r="K41" s="22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8">
        <f>IF(N12&lt;=AC40,0,AA19)</f>
        <v>76429.183999999994</v>
      </c>
      <c r="AD41" s="28">
        <f>IF(N12&lt;=AD40,0,AA19)</f>
        <v>76429.183999999994</v>
      </c>
      <c r="AE41" s="28">
        <f>IF(N12&lt;=AE40,0,AA19)</f>
        <v>76429.183999999994</v>
      </c>
      <c r="AF41" s="28">
        <f>IF(N12&lt;=AF40,0,AA19)</f>
        <v>76429.183999999994</v>
      </c>
      <c r="AG41" s="28">
        <f>IF(N12&lt;=AG40,0,AA19)</f>
        <v>76429.183999999994</v>
      </c>
      <c r="AH41" s="28">
        <f>IF(N12&lt;=AH40,0,AA19)</f>
        <v>76429.183999999994</v>
      </c>
      <c r="AI41" s="28">
        <f>IF(N12&lt;=AI40,0,AA19)</f>
        <v>76429.183999999994</v>
      </c>
      <c r="AJ41" s="28">
        <f>IF(N12&lt;=AJ40,0,AA19)</f>
        <v>76429.183999999994</v>
      </c>
      <c r="AK41" s="28">
        <f>IF(N12&lt;=AK40,0,AA19)</f>
        <v>76429.183999999994</v>
      </c>
      <c r="AL41" s="28">
        <f>IF(N12&lt;=AL40,0,AA19)</f>
        <v>76429.183999999994</v>
      </c>
      <c r="AM41" s="28">
        <f>IF(N12&lt;=AM40,0,AA19)</f>
        <v>76429.183999999994</v>
      </c>
      <c r="AN41" s="28">
        <f>IF(N12&lt;=AN40,0,AA19)</f>
        <v>76429.183999999994</v>
      </c>
      <c r="AO41" s="28">
        <f>IF(N12&lt;=AO40,0,AA19)</f>
        <v>76429.183999999994</v>
      </c>
      <c r="AP41" s="28">
        <f>IF(N12&lt;=AP40,0,AA19)</f>
        <v>76429.183999999994</v>
      </c>
      <c r="AQ41" s="28">
        <f>IF(N12&lt;=AQ40,0,AA19)</f>
        <v>76429.183999999994</v>
      </c>
      <c r="AR41" s="28">
        <f>IF(N12&lt;=AR40,0,AA19)</f>
        <v>76429.183999999994</v>
      </c>
      <c r="AS41" s="28">
        <f>IF(N12&lt;=AS40,0,AA19)</f>
        <v>76429.183999999994</v>
      </c>
      <c r="AT41" s="22">
        <f>IF(N12&lt;=AT40,0,AA19)</f>
        <v>76429.183999999994</v>
      </c>
      <c r="AU41" s="22">
        <f>IF(N12&lt;=AU40,0,AA19)</f>
        <v>76429.183999999994</v>
      </c>
      <c r="AV41" s="38">
        <f>IF(N12&lt;=AV40,0,AA19)</f>
        <v>0</v>
      </c>
      <c r="AW41" s="38">
        <f>IF(N12&lt;=AW40,0,AA19)</f>
        <v>0</v>
      </c>
      <c r="AX41" s="38">
        <f>IF(N12&lt;=AX40,0,AA19)</f>
        <v>0</v>
      </c>
      <c r="AY41" s="38">
        <f>IF(N12&lt;=AY40,0,AA19)</f>
        <v>0</v>
      </c>
      <c r="AZ41" s="38">
        <f>IF(N12&lt;=AZ40,0,AA19)</f>
        <v>0</v>
      </c>
      <c r="BA41" s="38">
        <f>IF(N12&lt;=BA40,0,AA19)</f>
        <v>0</v>
      </c>
      <c r="BB41" s="38">
        <f>IF(N12&lt;=BB40,0,AA19)</f>
        <v>0</v>
      </c>
      <c r="BC41" s="38">
        <f>IF(N12&lt;=BC40,0,AA19)</f>
        <v>0</v>
      </c>
    </row>
    <row r="42" spans="1:68" ht="15.75" customHeight="1" x14ac:dyDescent="0.2">
      <c r="A42" s="78" t="s">
        <v>66</v>
      </c>
      <c r="B42" s="63"/>
      <c r="C42" s="63"/>
      <c r="D42" s="14">
        <f>IF(N12&lt;=D40,0,AA19)</f>
        <v>76429.183999999994</v>
      </c>
      <c r="E42" s="14">
        <f>IF(N12&lt;=E40,0,D42*(1-N11+N10))</f>
        <v>75053.458687999999</v>
      </c>
      <c r="F42" s="14">
        <f>IF(N12&lt;=F40,0,E42*(1-N11+N10))</f>
        <v>73702.496431616004</v>
      </c>
      <c r="G42" s="14">
        <f>IF(N12&lt;=G40,0,F42*(1-N11+N10))</f>
        <v>72375.851495846917</v>
      </c>
      <c r="H42" s="14">
        <f>IF(N12&lt;=H40,0,G42*(1-N11+N10))</f>
        <v>71073.086168921669</v>
      </c>
      <c r="I42" s="14">
        <f>IF(N12&lt;=I40,0,H42*(1-N11+N10))</f>
        <v>69793.770617881077</v>
      </c>
      <c r="J42" s="14">
        <f>IF(N12&lt;=J40,0,I42*(1-N11+N10))</f>
        <v>68537.482746759211</v>
      </c>
      <c r="K42" s="14">
        <f>IF(N12&lt;=K40,0,J42*(1-N11+N10))</f>
        <v>67303.808057317539</v>
      </c>
      <c r="L42" s="14">
        <f>IF(N12&lt;=L40,0,K42*(1-N11+N10))</f>
        <v>66092.33951228582</v>
      </c>
      <c r="M42" s="14">
        <f>IF(N12&lt;=M40,0,L42*(1-N11+N10))</f>
        <v>64902.677401064677</v>
      </c>
      <c r="N42" s="14">
        <f>IF(N12&lt;=N40,0,M42*(1-N11+N10))</f>
        <v>63734.429207845511</v>
      </c>
      <c r="O42" s="14">
        <f>IF(N12&lt;=O40,0,N42*(1-N11+N10))</f>
        <v>62587.209482104292</v>
      </c>
      <c r="P42" s="14">
        <f>IF(N12&lt;=P40,0,O42*(1-N11+N10))</f>
        <v>61460.639711426411</v>
      </c>
      <c r="Q42" s="14">
        <f>IF(N12&lt;=Q40,0,P42*(1-N11+N10))</f>
        <v>60354.348196620733</v>
      </c>
      <c r="R42" s="14">
        <f>IF(N12&lt;=R40,0,Q42*(1-N11+N10))</f>
        <v>59267.969929081555</v>
      </c>
      <c r="S42" s="14">
        <f>IF(N12&lt;=S40,0,R42*(1-N11+N10))</f>
        <v>58201.146470358086</v>
      </c>
      <c r="T42" s="14">
        <f>IF(N12&lt;=T40,0,S42*(1-N11+N10))</f>
        <v>57153.525833891639</v>
      </c>
      <c r="U42" s="14">
        <f>IF(N12&lt;=U40,0,T42*(1-N11+N10))</f>
        <v>56124.762368881587</v>
      </c>
      <c r="V42" s="14">
        <f>IF(N12&lt;=V40,0,U42*(1-N11+N10))</f>
        <v>55114.516646241718</v>
      </c>
      <c r="W42" s="14">
        <f>IF(N12&lt;=W40,0,V42*(1-N11+N10))</f>
        <v>54122.455346609364</v>
      </c>
      <c r="X42" s="14">
        <f>IF(N12&lt;=X40,0,W42*(1-N11+N10))</f>
        <v>53148.251150370394</v>
      </c>
      <c r="Y42" s="14">
        <f>IF(N12&lt;=Y40,0,X42*(1-N11+N10))</f>
        <v>52191.582629663724</v>
      </c>
      <c r="Z42" s="14">
        <f>IF(N12&lt;=Z40,0,Y42*(1-N11+N10))</f>
        <v>51252.134142329778</v>
      </c>
      <c r="AA42" s="14">
        <f>IF(N12&lt;=AA40,0,Z42*(1-N11+N10))</f>
        <v>50329.595727767839</v>
      </c>
      <c r="AB42" s="14">
        <f>IF(N12&lt;=AB40,0,AA42*(1-N11+N10))</f>
        <v>49423.663004668015</v>
      </c>
      <c r="AC42" s="28">
        <f>IF(N12&lt;=AC40,0,AB42*(1-N11+N10))</f>
        <v>48534.037070583989</v>
      </c>
      <c r="AD42" s="28">
        <f>IF(N12&lt;=AD40,0,AC42*(1-N11+N10))</f>
        <v>47660.424403313475</v>
      </c>
      <c r="AE42" s="30">
        <f>IF(N12&lt;=AE40,0,AD42*(1-N11+N10))</f>
        <v>46802.536764053832</v>
      </c>
      <c r="AF42" s="28">
        <f>IF(N12&lt;=AF40,0,AE42*(1-N11+N10))</f>
        <v>45960.091102300859</v>
      </c>
      <c r="AG42" s="28">
        <f>IF(N12&lt;=AG40,0,AF42*(1-N11+N10))</f>
        <v>45132.809462459445</v>
      </c>
      <c r="AH42" s="28">
        <f>IF(N12&lt;=AH40,0,AG42*(1-N11+N10))</f>
        <v>44320.418892135174</v>
      </c>
      <c r="AI42" s="28">
        <f>IF(N12&lt;=AI40,0,AH42*(1-N11+N10))</f>
        <v>43522.65135207674</v>
      </c>
      <c r="AJ42" s="28">
        <f>IF(N12&lt;=AJ40,0,AI42*(1-N11+N10))</f>
        <v>42739.243627739357</v>
      </c>
      <c r="AK42" s="28">
        <f>IF(N12&lt;=AK40,0,AJ42*(1-N11+N10))</f>
        <v>41969.93724244005</v>
      </c>
      <c r="AL42" s="28">
        <f>IF(N12&lt;=AL40,0,AK42*(1-N11+N10))</f>
        <v>41214.478372076126</v>
      </c>
      <c r="AM42" s="28">
        <f>IF(N12&lt;=AM40,0,AL42*(1-N11+N10))</f>
        <v>40472.617761378759</v>
      </c>
      <c r="AN42" s="28">
        <f>IF(N12&lt;=AN40,0,AM42*(1-N11+N10))</f>
        <v>39744.110641673942</v>
      </c>
      <c r="AO42" s="28">
        <f>IF(N12&lt;=AO40,0,AN42*(1-N11+N10))</f>
        <v>39028.71665012381</v>
      </c>
      <c r="AP42" s="28">
        <f>IF(N12&lt;=AP40,0,AO42*(1-N11+N10))</f>
        <v>38326.199750421583</v>
      </c>
      <c r="AQ42" s="28">
        <f>IF(N12&lt;=AQ40,0,AP42*(1-N11+N10))</f>
        <v>37636.328154913994</v>
      </c>
      <c r="AR42" s="28">
        <f>IF(N12&lt;=AR40,0,AQ42*(1-N11+N10))</f>
        <v>36958.874248125539</v>
      </c>
      <c r="AS42" s="28">
        <f>IF(N12&lt;=AS40,0,AR42*(1-N11+N10))</f>
        <v>36293.614511659282</v>
      </c>
      <c r="AT42" s="28">
        <f>IF(N12&lt;=AT40,0,AS42*(1-N11+N10))</f>
        <v>35640.329450449412</v>
      </c>
      <c r="AU42" s="28">
        <f>IF(N12&lt;=AU40,0,AT42*(1-N11+N10))</f>
        <v>34998.803520341324</v>
      </c>
      <c r="AV42" s="20">
        <f>IF(N12&lt;=AV40,0,AU42*(1-N11+N10))</f>
        <v>0</v>
      </c>
      <c r="AW42" s="20">
        <f>IF(N12&lt;=AW40,0,AV42*(1-N11+N10))</f>
        <v>0</v>
      </c>
      <c r="AX42" s="20">
        <f>IF(N12&lt;=AX40,0,AW42*(1-N11+N10))</f>
        <v>0</v>
      </c>
      <c r="AY42" s="20">
        <f>IF(N12&lt;=AY40,0,AX42*(1-N11+N10))</f>
        <v>0</v>
      </c>
      <c r="AZ42" s="20">
        <f>IF(N12&lt;=AZ40,0,AY42*(1-N11+N10))</f>
        <v>0</v>
      </c>
      <c r="BA42" s="20">
        <f>IF(N12&lt;=BA40,0,AZ42*(1-N11+N10))</f>
        <v>0</v>
      </c>
      <c r="BB42" s="20">
        <f>IF(N12&lt;=BB40,0,BA42*(1-N11+N10))</f>
        <v>0</v>
      </c>
      <c r="BC42" s="20">
        <f>IF(N12&lt;=BC40,0,BB42*(1-N11+N10))</f>
        <v>0</v>
      </c>
    </row>
    <row r="43" spans="1:68" ht="15.75" customHeight="1" x14ac:dyDescent="0.2">
      <c r="A43" s="65"/>
      <c r="B43" s="63"/>
      <c r="C43" s="6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</row>
    <row r="44" spans="1:68" ht="15.75" customHeight="1" x14ac:dyDescent="0.25">
      <c r="A44" s="33" t="s">
        <v>67</v>
      </c>
      <c r="B44" s="33" t="s">
        <v>17</v>
      </c>
      <c r="C44" s="33" t="s">
        <v>68</v>
      </c>
      <c r="V44" s="75" t="s">
        <v>69</v>
      </c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35"/>
      <c r="AJ44" s="36"/>
      <c r="BD44" s="38"/>
      <c r="BE44" s="38"/>
      <c r="BF44" s="38"/>
    </row>
    <row r="45" spans="1:68" ht="15.75" customHeight="1" x14ac:dyDescent="0.2">
      <c r="A45" s="39">
        <v>19</v>
      </c>
      <c r="B45" s="40">
        <f>(A45*N7)</f>
        <v>0.60799999999999998</v>
      </c>
      <c r="C45" s="41">
        <f>(((LARGE(M19:V19,1))+(LARGE(M19:V19,2))+(LARGE(M19:V19,3)))/3)*(B45)</f>
        <v>63137.152000000002</v>
      </c>
      <c r="V45" s="21">
        <f t="array" ref="V45">IF(N12&lt;=V40,0,NPV((N11-N10),0,0,0,0,0,0,0,0,0,0,0,0,0,0,0,0,0,0,0,0,0,0,C45))</f>
        <v>41887.659423462115</v>
      </c>
      <c r="W45" s="13">
        <f>IF(N12&lt;=W40,0,V45*(1-N11+N10))</f>
        <v>41133.681553839793</v>
      </c>
      <c r="X45" s="13">
        <f>IF(N12&lt;=X40,0,W45*(1-N11+N10))</f>
        <v>40393.275285870674</v>
      </c>
      <c r="Y45" s="13">
        <f>IF(N12&lt;=Y40,0,X45*(1-N11+N10))</f>
        <v>39666.196330725004</v>
      </c>
      <c r="Z45" s="13">
        <f>IF(N12&lt;=Z40,0,Y45*(1-N11+N10))</f>
        <v>38952.204796771955</v>
      </c>
      <c r="AA45" s="13">
        <f>IF(N12&lt;=AA40,0,Z45*(1-N11+N10))</f>
        <v>38251.065110430063</v>
      </c>
      <c r="AB45" s="13">
        <f>IF(N12&lt;=AB40,0,AA45*(1-N11+N10))</f>
        <v>37562.545938442323</v>
      </c>
      <c r="AC45" s="13">
        <f>IF(N12&lt;=AC40,0,AB45*(1-N11+N10))</f>
        <v>36886.42011155036</v>
      </c>
      <c r="AD45" s="13">
        <f>IF(N12&lt;=AD40,0,AC45*(1-N11+N10))</f>
        <v>36222.464549542456</v>
      </c>
      <c r="AE45" s="13">
        <f>IF(N12&lt;=AE40,0,AD45*(1-N11+N10))</f>
        <v>35570.460187650693</v>
      </c>
      <c r="AF45" s="13">
        <f>IF(N12&lt;=AF40,0,AE45*(1-N11+N10))</f>
        <v>34930.191904272979</v>
      </c>
      <c r="AG45" s="13">
        <f>IF(N12&lt;=AG40,0,AF45*(1-N11+N10))</f>
        <v>34301.448449996067</v>
      </c>
      <c r="AH45" s="13">
        <f>IF(N12&lt;=AH40,0,AG45*(1-N11+N10))</f>
        <v>33684.022377896137</v>
      </c>
      <c r="AI45" s="13">
        <f>IF(N12&lt;=AI40,0,AH45*(1-N11+N10))</f>
        <v>33077.709975094003</v>
      </c>
      <c r="AJ45" s="13">
        <f>IF(N12&lt;=AJ40,0,AI45*(1-N11+N10))</f>
        <v>32482.311195542312</v>
      </c>
      <c r="AK45" s="13">
        <f>IF(N12&lt;=AK40,0,AJ45*(1-N11+N10))</f>
        <v>31897.62959402255</v>
      </c>
      <c r="AL45" s="13">
        <f>IF(N12&lt;=AL40,0,AK45*(1-N11+N10))</f>
        <v>31323.472261330142</v>
      </c>
      <c r="AM45" s="13">
        <f>IF(N12&lt;=AM40,0,AL45*(1-N11+N10))</f>
        <v>30759.649760626198</v>
      </c>
      <c r="AN45" s="13">
        <f>IF(N12&lt;=AN40,0,AM45*(1-N11+N10))</f>
        <v>30205.976064934926</v>
      </c>
      <c r="AO45" s="13">
        <f>IF(N12&lt;=AO40,0,AN45*(1-N11+N10))</f>
        <v>29662.268495766097</v>
      </c>
      <c r="AP45" s="13">
        <f>IF(N12&lt;=AP40,0,AO45*(1-N11+N10))</f>
        <v>29128.347662842305</v>
      </c>
      <c r="AQ45" s="13">
        <f>IF(N12&lt;=AQ40,0,AP45*(1-N11+N10))</f>
        <v>28604.037404911141</v>
      </c>
      <c r="AR45" s="13">
        <f>IF(N12&lt;=AR40,0,AQ45*(1-N11+N10))</f>
        <v>28089.164731622739</v>
      </c>
      <c r="AS45" s="13">
        <f>IF(N12&lt;=AS40,0,AR45*(1-N11+N10))</f>
        <v>27583.559766453531</v>
      </c>
      <c r="AT45" s="13">
        <f>IF(N12&lt;=AT40,0,AS45*(1-N11+N10))</f>
        <v>27087.055690657366</v>
      </c>
      <c r="AU45" s="13">
        <f>IF(N12&lt;=AU40,0,AT45*(1-N11+N10))</f>
        <v>26599.488688225534</v>
      </c>
      <c r="AV45" s="13">
        <f>IF(N12&lt;=AV40,0,AU45*(1-N11+N10))</f>
        <v>0</v>
      </c>
      <c r="AW45" s="13">
        <f>IF(N12&lt;=AW40,0,AV45*(1-N11+N10))</f>
        <v>0</v>
      </c>
      <c r="AX45" s="13">
        <f>IF(N12&lt;=AX40,0,AW45*(1-N11+N10))</f>
        <v>0</v>
      </c>
      <c r="AY45" s="13">
        <f>IF(N12&lt;=AY40,0,AX45*(1-N11+N10))</f>
        <v>0</v>
      </c>
      <c r="AZ45" s="13">
        <f>IF(N12&lt;=AZ40,0,AY45*(1-N11+N10))</f>
        <v>0</v>
      </c>
      <c r="BA45" s="13">
        <f>IF(N12&lt;=BA40,0,AZ45*(1-N11+N10))</f>
        <v>0</v>
      </c>
      <c r="BB45" s="13">
        <f>IF(N12&lt;=BB40,0,BA45*(1-N11+N10))</f>
        <v>0</v>
      </c>
      <c r="BC45" s="13">
        <f>IF(N12&lt;=BC40,0,BB45*(1-N11+N10))</f>
        <v>0</v>
      </c>
      <c r="BD45" s="22"/>
      <c r="BE45" s="22"/>
      <c r="BF45" s="22"/>
    </row>
    <row r="46" spans="1:68" ht="15.75" customHeight="1" x14ac:dyDescent="0.2">
      <c r="A46" s="39">
        <v>18</v>
      </c>
      <c r="B46" s="40">
        <f>(A46*N7)</f>
        <v>0.57600000000000007</v>
      </c>
      <c r="C46" s="41">
        <f>(((LARGE(L19:U19,1))+(LARGE(L19:U19,2))+(LARGE(L19:U19,3)))/3)*(B46)</f>
        <v>58509.312000000013</v>
      </c>
      <c r="V46" s="21">
        <f t="array" ref="V46">IF(N12&lt;=V40,0,NPV((N11-N10),0,0,0,0,0,0,0,0,0,0,0,0,0,0,0,0,0,0,0,0,0,0,0,C46))</f>
        <v>38131.010920073604</v>
      </c>
      <c r="W46" s="13">
        <f>IF(N12&lt;=W40,0,V46*(1-N11+N10))</f>
        <v>37444.652723512278</v>
      </c>
      <c r="X46" s="13">
        <f>IF(N12&lt;=X40,0,W46*(1-N11+N10))</f>
        <v>36770.648974489057</v>
      </c>
      <c r="Y46" s="13">
        <f>IF(N12&lt;=Y40,0,X46*(1-N11+N10))</f>
        <v>36108.777292948253</v>
      </c>
      <c r="Z46" s="13">
        <f>IF(N12&lt;=Z40,0,Y46*(1-N11+N10))</f>
        <v>35458.819301675183</v>
      </c>
      <c r="AA46" s="13">
        <f>IF(N12&lt;=AA40,0,Z46*(1-N11+N10))</f>
        <v>34820.560554245028</v>
      </c>
      <c r="AB46" s="13">
        <f>IF(N12&lt;=AB40,0,AA46*(1-N11+N10))</f>
        <v>34193.790464268619</v>
      </c>
      <c r="AC46" s="13">
        <f>IF(N12&lt;=AC40,0,AB46*(1-N11+N10))</f>
        <v>33578.302235911782</v>
      </c>
      <c r="AD46" s="13">
        <f>IF(N12&lt;=AD40,0,AC46*(1-N11+N10))</f>
        <v>32973.892795665372</v>
      </c>
      <c r="AE46" s="13">
        <f>IF(N12&lt;=AE40,0,AD46*(1-N11+N10))</f>
        <v>32380.362725343395</v>
      </c>
      <c r="AF46" s="13">
        <f>IF(N12&lt;=AF40,0,AE46*(1-N11+N10))</f>
        <v>31797.516196287215</v>
      </c>
      <c r="AG46" s="13">
        <f>IF(N12&lt;=AG40,0,AF46*(1-N11+N10))</f>
        <v>31225.160904754044</v>
      </c>
      <c r="AH46" s="13">
        <f>IF(N12&lt;=AH40,0,AG46*(1-N11+N10))</f>
        <v>30663.108008468473</v>
      </c>
      <c r="AI46" s="13">
        <f>IF(N12&lt;=AI40,0,AH46*(1-N11+N10))</f>
        <v>30111.172064316041</v>
      </c>
      <c r="AJ46" s="13">
        <f>IF(N12&lt;=AJ40,0,AI46*(1-N11+N10))</f>
        <v>29569.170967158352</v>
      </c>
      <c r="AK46" s="13">
        <f>IF(N12&lt;=AK40,0,AJ46*(1-N11+N10))</f>
        <v>29036.925889749502</v>
      </c>
      <c r="AL46" s="13">
        <f>IF(N12&lt;=AL40,0,AK46*(1-N11+N10))</f>
        <v>28514.261223734011</v>
      </c>
      <c r="AM46" s="13">
        <f>IF(N12&lt;=AM40,0,AL46*(1-N11+N10))</f>
        <v>28001.0045217068</v>
      </c>
      <c r="AN46" s="13">
        <f>IF(N12&lt;=AN40,0,AM46*(1-N11+N10))</f>
        <v>27496.986440316075</v>
      </c>
      <c r="AO46" s="13">
        <f>IF(N12&lt;=AO40,0,AN46*(1-N11+N10))</f>
        <v>27002.040684390387</v>
      </c>
      <c r="AP46" s="13">
        <f>IF(N12&lt;=AP40,0,AO46*(1-N11+N10))</f>
        <v>26516.003952071362</v>
      </c>
      <c r="AQ46" s="13">
        <f>IF(N12&lt;=AQ40,0,AP46*(1-N11+N10))</f>
        <v>26038.715880934076</v>
      </c>
      <c r="AR46" s="13">
        <f>IF(N12&lt;=AR40,0,AQ46*(1-N11+N10))</f>
        <v>25570.018995077262</v>
      </c>
      <c r="AS46" s="13">
        <f>IF(N12&lt;=AS40,0,AR46*(1-N11+N10))</f>
        <v>25109.758653165871</v>
      </c>
      <c r="AT46" s="13">
        <f>IF(N12&lt;=AT40,0,AS46*(1-N11+N10))</f>
        <v>24657.782997408885</v>
      </c>
      <c r="AU46" s="13">
        <f>IF(N12&lt;=AU40,0,AT46*(1-N11+N10))</f>
        <v>24213.942903455525</v>
      </c>
      <c r="AV46" s="13">
        <f>IF(N12&lt;=AV40,0,AU46*(1-N11+N10))</f>
        <v>0</v>
      </c>
      <c r="AW46" s="13">
        <f>IF(N12&lt;=AW40,0,AV46*(1-N11+N10))</f>
        <v>0</v>
      </c>
      <c r="AX46" s="13">
        <f>IF(N12&lt;=AX40,0,AW46*(1-N11+N10))</f>
        <v>0</v>
      </c>
      <c r="AY46" s="13">
        <f>IF(N12&lt;=AY40,0,AX46*(1-N11+N10))</f>
        <v>0</v>
      </c>
      <c r="AZ46" s="13">
        <f>IF(N12&lt;=AZ40,0,AY46*(1-N11+N10))</f>
        <v>0</v>
      </c>
      <c r="BA46" s="13">
        <f>IF(N12&lt;=BA40,0,AZ46*(1-N11+N10))</f>
        <v>0</v>
      </c>
      <c r="BB46" s="13">
        <f>IF(N12&lt;=BB40,0,BA46*(1-N11+N10))</f>
        <v>0</v>
      </c>
      <c r="BC46" s="13">
        <f>IF(N12&lt;=BC40,0,BB46*(1-N11+N10))</f>
        <v>0</v>
      </c>
    </row>
    <row r="47" spans="1:68" ht="15.75" customHeight="1" x14ac:dyDescent="0.2">
      <c r="A47" s="39">
        <v>17</v>
      </c>
      <c r="B47" s="40">
        <f>(A47*N7)</f>
        <v>0.54400000000000004</v>
      </c>
      <c r="C47" s="41">
        <f>(((LARGE(K19:T19,1))+(LARGE(K19:T19,2))+(LARGE(K19:T19,3)))/3)*(B47)</f>
        <v>54026.453333333331</v>
      </c>
      <c r="V47" s="21">
        <f t="array" ref="V47">IF(N12&lt;=V40,0,NPV((N11-N10),0,0,0,0,0,0,0,0,0,0,0,0,0,0,0,0,0,0,0,0,0,0,0,0,C47))</f>
        <v>34586.929478214493</v>
      </c>
      <c r="W47" s="13">
        <f>IF(N12&lt;=W40,0,V47*(1-N11+N10))</f>
        <v>33964.364747606633</v>
      </c>
      <c r="X47" s="13">
        <f>IF(N12&lt;=X40,0,W47*(1-N11+N10))</f>
        <v>33353.006182149715</v>
      </c>
      <c r="Y47" s="13">
        <f>IF(N12&lt;=Y40,0,X47*(1-N11+N10))</f>
        <v>32752.65207087102</v>
      </c>
      <c r="Z47" s="13">
        <f>IF(N12&lt;=Z40,0,Y47*(1-N11+N10))</f>
        <v>32163.10433359534</v>
      </c>
      <c r="AA47" s="13">
        <f>IF(N12&lt;=AA40,0,Z47*(1-N11+N10))</f>
        <v>31584.168455590625</v>
      </c>
      <c r="AB47" s="13">
        <f>IF(N12&lt;=AB40,0,AA47*(1-N11+N10))</f>
        <v>31015.653423389995</v>
      </c>
      <c r="AC47" s="13">
        <f>IF(N12&lt;=AC40,0,AB47*(1-N11+N10))</f>
        <v>30457.371661768975</v>
      </c>
      <c r="AD47" s="13">
        <f>IF(N12&lt;=AD40,0,AC47*(1-N11+N10))</f>
        <v>29909.138971857134</v>
      </c>
      <c r="AE47" s="13">
        <f>IF(N12&lt;=AE40,0,AD47*(1-N11+N10))</f>
        <v>29370.774470363704</v>
      </c>
      <c r="AF47" s="13">
        <f>IF(N12&lt;=AF40,0,AE47*(1-N11+N10))</f>
        <v>28842.100529897158</v>
      </c>
      <c r="AG47" s="13">
        <f>IF(N12&lt;=AG40,0,AF47*(1-N11+N10))</f>
        <v>28322.942720359009</v>
      </c>
      <c r="AH47" s="13">
        <f>IF(N12&lt;=AH40,0,AG47*(1-N11+N10))</f>
        <v>27813.129751392546</v>
      </c>
      <c r="AI47" s="13">
        <f>IF(N12&lt;=AI40,0,AH47*(1-N11+N10))</f>
        <v>27312.493415867481</v>
      </c>
      <c r="AJ47" s="13">
        <f>IF(N12&lt;=AJ40,0,AI47*(1-N11+N10))</f>
        <v>26820.868534381865</v>
      </c>
      <c r="AK47" s="13">
        <f>IF(N12&lt;=AK40,0,AJ47*(1-N11+N10))</f>
        <v>26338.092900762993</v>
      </c>
      <c r="AL47" s="13">
        <f>IF(N12&lt;=AL40,0,AK47*(1-N11+N10))</f>
        <v>25864.007228549257</v>
      </c>
      <c r="AM47" s="13">
        <f>IF(N12&lt;=AM40,0,AL47*(1-N11+N10))</f>
        <v>25398.45509843537</v>
      </c>
      <c r="AN47" s="13">
        <f>IF(N12&lt;=AN40,0,AM47*(1-N11+N10))</f>
        <v>24941.282906663531</v>
      </c>
      <c r="AO47" s="13">
        <f>IF(N12&lt;=AO40,0,AN47*(1-N11+N10))</f>
        <v>24492.339814343588</v>
      </c>
      <c r="AP47" s="13">
        <f>IF(N12&lt;=AP40,0,AO47*(1-N11+N10))</f>
        <v>24051.477697685405</v>
      </c>
      <c r="AQ47" s="13">
        <f>IF(N12&lt;=AQ40,0,AP47*(1-N11+N10))</f>
        <v>23618.551099127068</v>
      </c>
      <c r="AR47" s="13">
        <f>IF(N12&lt;=AR40,0,AQ47*(1-N11+N10))</f>
        <v>23193.417179342781</v>
      </c>
      <c r="AS47" s="13">
        <f>IF(N12&lt;=AS40,0,AR47*(1-N11+N10))</f>
        <v>22775.93567011461</v>
      </c>
      <c r="AT47" s="13">
        <f>IF(N12&lt;=AT40,0,AS47*(1-N11+N10))</f>
        <v>22365.968828052548</v>
      </c>
      <c r="AU47" s="13">
        <f>IF(N12&lt;=AU40,0,AT47*(1-N11+N10))</f>
        <v>21963.381389147602</v>
      </c>
      <c r="AV47" s="13">
        <f>IF(N12&lt;=AV40,0,AU47*(1-N11+N10))</f>
        <v>0</v>
      </c>
      <c r="AW47" s="13">
        <f>IF(N12&lt;=AW40,0,AV47*(1-N11+N10))</f>
        <v>0</v>
      </c>
      <c r="AX47" s="13">
        <f>IF(N12&lt;=AX40,0,AW47*(1-N11+N10))</f>
        <v>0</v>
      </c>
      <c r="AY47" s="13">
        <f>IF(N12&lt;=AY40,0,AX47*(1-N11+N10))</f>
        <v>0</v>
      </c>
      <c r="AZ47" s="13">
        <f>IF(N12&lt;=AZ40,0,AY47*(1-N11+N10))</f>
        <v>0</v>
      </c>
      <c r="BA47" s="13">
        <f>IF(N12&lt;=BA40,0,AZ47*(1-N11+N10))</f>
        <v>0</v>
      </c>
      <c r="BB47" s="13">
        <f>IF(N12&lt;=BB40,0,BA47*(1-N11+N10))</f>
        <v>0</v>
      </c>
      <c r="BC47" s="13">
        <f>IF(N12&lt;=BC40,0,BB47*(1-N11+N10))</f>
        <v>0</v>
      </c>
    </row>
    <row r="48" spans="1:68" ht="15.75" customHeight="1" x14ac:dyDescent="0.2">
      <c r="A48" s="39">
        <v>16</v>
      </c>
      <c r="B48" s="40">
        <f>(A48*N7)</f>
        <v>0.51200000000000001</v>
      </c>
      <c r="C48" s="41">
        <f>(((LARGE(J19:S19,1))+(LARGE(J19:S19,2))+(LARGE(J19:S19,3)))/3)*(B48)</f>
        <v>48605.354666666666</v>
      </c>
      <c r="V48" s="21">
        <f t="array" ref="V48">IF(N12&lt;=V40,0,NPV((N11-N10),0,0,0,0,0,0,0,0,0,0,0,0,0,0,0,0,0,0,0,0,0,0,0,0,0,C48))</f>
        <v>30566.230826790517</v>
      </c>
      <c r="W48" s="13">
        <f>IF(N12&lt;=W40,0,V48*(1-N11+N10))</f>
        <v>30016.038671908289</v>
      </c>
      <c r="X48" s="13">
        <f>IF(N12&lt;=X40,0,W48*(1-N11+N10))</f>
        <v>29475.749975813938</v>
      </c>
      <c r="Y48" s="13">
        <f>IF(N12&lt;=Y40,0,X48*(1-N11+N10))</f>
        <v>28945.186476249288</v>
      </c>
      <c r="Z48" s="13">
        <f>IF(N12&lt;=Z40,0,Y48*(1-N11+N10))</f>
        <v>28424.173119676801</v>
      </c>
      <c r="AA48" s="13">
        <f>IF(N12&lt;=AA40,0,Z48*(1-N11+N10))</f>
        <v>27912.538003522619</v>
      </c>
      <c r="AB48" s="13">
        <f>IF(N12&lt;=AB40,0,AA48*(1-N11+N10))</f>
        <v>27410.112319459211</v>
      </c>
      <c r="AC48" s="13">
        <f>IF(N12&lt;=AC40,0,AB48*(1-N11+N10))</f>
        <v>26916.730297708946</v>
      </c>
      <c r="AD48" s="13">
        <f>IF(N12&lt;=AD40,0,AC48*(1-N11+N10))</f>
        <v>26432.229152350184</v>
      </c>
      <c r="AE48" s="13">
        <f>IF(N12&lt;=AE40,0,AD48*(1-N11+N10))</f>
        <v>25956.44902760788</v>
      </c>
      <c r="AF48" s="13">
        <f>IF(N12&lt;=AF40,0,AE48*(1-N11+N10))</f>
        <v>25489.232945110936</v>
      </c>
      <c r="AG48" s="13">
        <f>IF(N12&lt;=AG40,0,AF48*(1-N11+N10))</f>
        <v>25030.426752098938</v>
      </c>
      <c r="AH48" s="13">
        <f>IF(N12&lt;=AH40,0,AG48*(1-N11+N10))</f>
        <v>24579.879070561157</v>
      </c>
      <c r="AI48" s="13">
        <f>IF(N12&lt;=AI40,0,AH48*(1-N11+N10))</f>
        <v>24137.441247291055</v>
      </c>
      <c r="AJ48" s="13">
        <f>IF(N12&lt;=AJ40,0,AI48*(1-N11+N10))</f>
        <v>23702.967304839814</v>
      </c>
      <c r="AK48" s="13">
        <f>IF(N12&lt;=AK40,0,AJ48*(1-N11+N10))</f>
        <v>23276.313893352697</v>
      </c>
      <c r="AL48" s="13">
        <f>IF(N12&lt;=AL40,0,AK48*(1-N11+N10))</f>
        <v>22857.340243272349</v>
      </c>
      <c r="AM48" s="13">
        <f>IF(N12&lt;=AM40,0,AL48*(1-N11+N10))</f>
        <v>22445.908118893447</v>
      </c>
      <c r="AN48" s="13">
        <f>IF(N12&lt;=AN40,0,AM48*(1-N11+N10))</f>
        <v>22041.881772753364</v>
      </c>
      <c r="AO48" s="13">
        <f>IF(N12&lt;=AO40,0,AN48*(1-N11+N10))</f>
        <v>21645.127900843803</v>
      </c>
      <c r="AP48" s="13">
        <f>IF(N12&lt;=AP40,0,AO48*(1-N11+N10))</f>
        <v>21255.515598628615</v>
      </c>
      <c r="AQ48" s="13">
        <f>IF(N12&lt;=AQ40,0,AP48*(1-N11+N10))</f>
        <v>20872.916317853302</v>
      </c>
      <c r="AR48" s="13">
        <f>IF(N12&lt;=AR40,0,AQ48*(1-N11+N10))</f>
        <v>20497.203824131942</v>
      </c>
      <c r="AS48" s="13">
        <f>IF(N12&lt;=AS40,0,AR48*(1-N11+N10))</f>
        <v>20128.254155297567</v>
      </c>
      <c r="AT48" s="13">
        <f>IF(N12&lt;=AT40,0,AS48*(1-N11+N10))</f>
        <v>19765.945580502212</v>
      </c>
      <c r="AU48" s="13">
        <f>IF(N12&lt;=AU40,0,AT48*(1-N11+N10))</f>
        <v>19410.158560053173</v>
      </c>
      <c r="AV48" s="13">
        <f>IF(N12&lt;=AV40,0,AU48*(1-N11+N10))</f>
        <v>0</v>
      </c>
      <c r="AW48" s="13">
        <f>IF(N12&lt;=AW40,0,AV48*(1-N11+N10))</f>
        <v>0</v>
      </c>
      <c r="AX48" s="13">
        <f>IF(N12&lt;=AX40,0,AW48*(1-N11+N10))</f>
        <v>0</v>
      </c>
      <c r="AY48" s="13">
        <f>IF(N12&lt;=AY40,0,AX48*(1-N11+N10))</f>
        <v>0</v>
      </c>
      <c r="AZ48" s="13">
        <f>IF(N12&lt;=AZ40,0,AY48*(1-N11+N10))</f>
        <v>0</v>
      </c>
      <c r="BA48" s="13">
        <f>IF(N12&lt;=BA40,0,AZ48*(1-N11+N10))</f>
        <v>0</v>
      </c>
      <c r="BB48" s="13">
        <f>IF(N12&lt;=BB40,0,BA48*(1-N11+N10))</f>
        <v>0</v>
      </c>
      <c r="BC48" s="13">
        <f>IF(N12&lt;=BC40,0,BB48*(1-N11+N10))</f>
        <v>0</v>
      </c>
    </row>
    <row r="49" spans="1:68" ht="15.75" customHeight="1" x14ac:dyDescent="0.2">
      <c r="A49" s="39">
        <v>15</v>
      </c>
      <c r="B49" s="40">
        <f>(A49*N7)</f>
        <v>0.48</v>
      </c>
      <c r="C49" s="41">
        <f>(((LARGE(I19:R19,1))+(LARGE(I19:R19,2))+(LARGE(I19:R19,3)))/3)*(B49)</f>
        <v>43353.599999999999</v>
      </c>
      <c r="V49" s="21">
        <f t="array" ref="V49">IF(N12&lt;=V40,0,NPV((N11-N10),0,0,0,0,0,0,0,0,0,0,0,0,0,0,0,0,0,0,0,0,0,0,0,0,0,0,C49))</f>
        <v>26781.516193509509</v>
      </c>
      <c r="W49" s="13">
        <f>IF(N12&lt;=W40,0,V49*(1-N11+N10))</f>
        <v>26299.448902026339</v>
      </c>
      <c r="X49" s="13">
        <f>IF(N12&lt;=X40,0,W49*(1-N11+N10))</f>
        <v>25826.058821789866</v>
      </c>
      <c r="Y49" s="13">
        <f>IF(N12&lt;=Y40,0,X49*(1-N11+N10))</f>
        <v>25361.189762997648</v>
      </c>
      <c r="Z49" s="13">
        <f>IF(N12&lt;=Z40,0,Y49*(1-N11+N10))</f>
        <v>24904.688347263691</v>
      </c>
      <c r="AA49" s="13">
        <f>IF(N12&lt;=AA40,0,Z49*(1-N11+N10))</f>
        <v>24456.403957012943</v>
      </c>
      <c r="AB49" s="13">
        <f>IF(N12&lt;=AB40,0,AA49*(1-N11+N10))</f>
        <v>24016.18868578671</v>
      </c>
      <c r="AC49" s="13">
        <f>IF(N12&lt;=AC40,0,AB49*(1-N11+N10))</f>
        <v>23583.89728944255</v>
      </c>
      <c r="AD49" s="13">
        <f>IF(N12&lt;=AD40,0,AC49*(1-N11+N10))</f>
        <v>23159.387138232585</v>
      </c>
      <c r="AE49" s="13">
        <f>IF(N12&lt;=AE40,0,AD49*(1-N11+N10))</f>
        <v>22742.518169744399</v>
      </c>
      <c r="AF49" s="13">
        <f>IF(N12&lt;=AF40,0,AE49*(1-N11+N10))</f>
        <v>22333.152842689</v>
      </c>
      <c r="AG49" s="13">
        <f>IF(N12&lt;=AG40,0,AF49*(1-N11+N10))</f>
        <v>21931.156091520599</v>
      </c>
      <c r="AH49" s="13">
        <f>IF(N12&lt;=AH40,0,AG49*(1-N11+N10))</f>
        <v>21536.395281873229</v>
      </c>
      <c r="AI49" s="13">
        <f>IF(N12&lt;=AI40,0,AH49*(1-N11+N10))</f>
        <v>21148.740166799511</v>
      </c>
      <c r="AJ49" s="13">
        <f>IF(N12&lt;=AJ40,0,AI49*(1-N11+N10))</f>
        <v>20768.062843797121</v>
      </c>
      <c r="AK49" s="13">
        <f>IF(N12&lt;=AK40,0,AJ49*(1-F70+F69))</f>
        <v>20768.062843797121</v>
      </c>
      <c r="AL49" s="13">
        <f>IF(N12&lt;=AL40,0,AK49*(1-H70+H69))</f>
        <v>20768.062843797121</v>
      </c>
      <c r="AM49" s="13">
        <f>IF(N12&lt;=AM40,0,AL49*(1-H70+H69))</f>
        <v>20768.062843797121</v>
      </c>
      <c r="AN49" s="13">
        <f>IF(N12&lt;=AN40,0,AM49*(1-J70+J69))</f>
        <v>20768.062843797121</v>
      </c>
      <c r="AO49" s="13">
        <f>IF(N12&lt;=AO40,0,AN49*(1-N11+N10))</f>
        <v>20394.237712608774</v>
      </c>
      <c r="AP49" s="13">
        <f>IF(N12&lt;=AP40,0,AO49*(1-N11+N10))</f>
        <v>20027.141433781817</v>
      </c>
      <c r="AQ49" s="13">
        <f>IF(N12&lt;=AQ40,0,AP49*(1-N11+N10))</f>
        <v>19666.652887973745</v>
      </c>
      <c r="AR49" s="13">
        <f>IF(N12&lt;=AR40,0,AQ49*(1-N11+N10))</f>
        <v>19312.653135990218</v>
      </c>
      <c r="AS49" s="13">
        <f>IF(N12&lt;=AS40,0,AR49*(1-N11+N10))</f>
        <v>18965.025379542392</v>
      </c>
      <c r="AT49" s="13">
        <f>IF(N12&lt;=AT40,0,AS49*(1-N11+N10))</f>
        <v>18623.65492271063</v>
      </c>
      <c r="AU49" s="13">
        <f>IF(N12&lt;=AU40,0,AT49*(1-N11+N10))</f>
        <v>18288.42913410184</v>
      </c>
      <c r="AV49" s="13">
        <f>IF(N12&lt;=AV40,0,AU49*(1-N11+N10))</f>
        <v>0</v>
      </c>
      <c r="AW49" s="13">
        <f>IF(N12&lt;=AW40,0,AV49*(1-N11+N10))</f>
        <v>0</v>
      </c>
      <c r="AX49" s="13">
        <f>IF(N12&lt;=AX40,0,AW49*(1-N11+N10))</f>
        <v>0</v>
      </c>
      <c r="AY49" s="13">
        <f>IF(N12&lt;=AY40,0,AX49*(1-N11+N10))</f>
        <v>0</v>
      </c>
      <c r="AZ49" s="13">
        <f>IF(N12&lt;=AZ40,0,AY49*(1-N11+N10))</f>
        <v>0</v>
      </c>
      <c r="BA49" s="13">
        <f>IF(N12&lt;=BA40,0,AZ49*(1-N11+N10))</f>
        <v>0</v>
      </c>
      <c r="BB49" s="13">
        <f>IF(N12&lt;=BB40,0,BA49*(1-N11+N10))</f>
        <v>0</v>
      </c>
      <c r="BC49" s="13">
        <f>IF(N12&lt;=BC40,0,BB49*(1-N11+N10))</f>
        <v>0</v>
      </c>
    </row>
    <row r="50" spans="1:68" ht="15.75" customHeight="1" x14ac:dyDescent="0.2">
      <c r="A50" s="39">
        <v>14</v>
      </c>
      <c r="B50" s="40">
        <f>(A50*N7)</f>
        <v>0.44800000000000001</v>
      </c>
      <c r="C50" s="41">
        <f>(((LARGE(H19:Q19,1))+(LARGE(H19:Q19,2))+(LARGE(H19:Q19,3)))/3)*(B50)</f>
        <v>38397.034666666666</v>
      </c>
      <c r="V50" s="21">
        <f t="array" ref="V50">IF(N12&lt;=V40,0,NPV((N11-N10),0,0,0,0,0,0,0,0,0,0,0,0,0,0,0,0,0,0,0,0,0,0,0,0,0,0,0,C50))</f>
        <v>23300.213574015434</v>
      </c>
      <c r="W50" s="13">
        <f>IF(N12&lt;=W40,0,V50*(1-N11+N10))</f>
        <v>22880.809729683155</v>
      </c>
      <c r="X50" s="13">
        <f>IF(N12&lt;=X40,0,W50*(1-N11+N10))</f>
        <v>22468.955154548858</v>
      </c>
      <c r="Y50" s="13">
        <f>IF(N12&lt;=Y40,0,X50*(1-N11+N10))</f>
        <v>22064.513961766977</v>
      </c>
      <c r="Z50" s="13">
        <f>IF(N12&lt;=Z40,0,Y50*(1-N11+N10))</f>
        <v>21667.352710455172</v>
      </c>
      <c r="AA50" s="13">
        <f>IF(N12&lt;=AA40,0,Z50*(1-N11+N10))</f>
        <v>21277.340361666978</v>
      </c>
      <c r="AB50" s="13">
        <f>IF(N12&lt;=AB40,0,AA50*(1-N11+N10))</f>
        <v>20894.348235156973</v>
      </c>
      <c r="AC50" s="13">
        <f>IF(N12&lt;=AC40,0,AB50*(1-N11+N10))</f>
        <v>20518.249966924148</v>
      </c>
      <c r="AD50" s="13">
        <f>IF(N12&lt;=AD40,0,AC50*(1-N11+N10))</f>
        <v>20148.921467519514</v>
      </c>
      <c r="AE50" s="13">
        <f>IF(N12&lt;=AE40,0,AD50*(1-N11+N10))</f>
        <v>19786.240881104164</v>
      </c>
      <c r="AF50" s="13">
        <f>IF(N12&lt;=AF40,0,AE50*(1-N11+N10))</f>
        <v>19430.088545244289</v>
      </c>
      <c r="AG50" s="13">
        <f>IF(N12&lt;=AG40,0,AF50*(1-N11+N10))</f>
        <v>19080.346951429892</v>
      </c>
      <c r="AH50" s="13">
        <f>IF(N12&lt;=AH40,0,AG50*(1-N11+N10))</f>
        <v>18736.900706304154</v>
      </c>
      <c r="AI50" s="13">
        <f>IF(N12&lt;=AI40,0,AH50*(1-N11+N10))</f>
        <v>18399.636493590679</v>
      </c>
      <c r="AJ50" s="13">
        <f>IF(N12&lt;=AJ40,0,AI50*(1-N11+N10))</f>
        <v>18068.443036706045</v>
      </c>
      <c r="AK50" s="13">
        <f>IF(N12&lt;=AK40,0,AJ50*(1-N11+N10))</f>
        <v>17743.211062045335</v>
      </c>
      <c r="AL50" s="13">
        <f>IF(N12&lt;=AL40,0,AK50*(1-N11+N10))</f>
        <v>17423.833262928518</v>
      </c>
      <c r="AM50" s="13">
        <f>IF(N12&lt;=AM40,0,AL50*(1-N11+N10))</f>
        <v>17110.204264195803</v>
      </c>
      <c r="AN50" s="13">
        <f>IF(N12&lt;=AN40,0,AM50*(1-N11+N10))</f>
        <v>16802.220587440279</v>
      </c>
      <c r="AO50" s="13">
        <f>IF(N12&lt;=AO40,0,AN50*(1-N11+N10))</f>
        <v>16499.780616866352</v>
      </c>
      <c r="AP50" s="13">
        <f>IF(N12&lt;=AP40,0,AO50*(1-N11+N10))</f>
        <v>16202.784565762757</v>
      </c>
      <c r="AQ50" s="13">
        <f>IF(N12&lt;=AQ40,0,AP50*(1-N11+N10))</f>
        <v>15911.134443579027</v>
      </c>
      <c r="AR50" s="13">
        <f>IF(N12&lt;=AR40,0,AQ50*(1-N11+N10))</f>
        <v>15624.734023594605</v>
      </c>
      <c r="AS50" s="13">
        <f>IF(N12&lt;=AS40,0,AR50*(1-N11+N10))</f>
        <v>15343.488811169902</v>
      </c>
      <c r="AT50" s="13">
        <f>IF(N12&lt;=AT40,0,AS50*(1-N11+N10))</f>
        <v>15067.306012568844</v>
      </c>
      <c r="AU50" s="13">
        <f>IF(N12&lt;=AU40,0,AT50*(1-N11+N10))</f>
        <v>14796.094504342605</v>
      </c>
      <c r="AV50" s="13">
        <f>IF(N12&lt;=AV40,0,AU50*(1-N11+N10))</f>
        <v>0</v>
      </c>
      <c r="AW50" s="13">
        <f>IF(N12&lt;=AW40,0,AV50*(1-N11+N10))</f>
        <v>0</v>
      </c>
      <c r="AX50" s="13">
        <f>IF(N12&lt;=AX40,0,AW50*(1-N11+N10))</f>
        <v>0</v>
      </c>
      <c r="AY50" s="13">
        <f>IF(N12&lt;=AY40,0,AX50*(1-N11+N10))</f>
        <v>0</v>
      </c>
      <c r="AZ50" s="13">
        <f>IF(N12&lt;=AZ40,0,AY50*(1-N11+N10))</f>
        <v>0</v>
      </c>
      <c r="BA50" s="13">
        <f>IF(N12&lt;=BA40,0,AZ50*(1-N11+N10))</f>
        <v>0</v>
      </c>
      <c r="BB50" s="13">
        <f>IF(N12&lt;=BB40,0,BA50*(1-N11+N10))</f>
        <v>0</v>
      </c>
      <c r="BC50" s="13">
        <f>IF(N12&lt;=BC40,0,BB50*(1-N11+N10))</f>
        <v>0</v>
      </c>
    </row>
    <row r="51" spans="1:68" ht="15.75" customHeight="1" x14ac:dyDescent="0.2">
      <c r="A51" s="39">
        <v>13</v>
      </c>
      <c r="B51" s="40">
        <f>(A51*N7)</f>
        <v>0.41600000000000004</v>
      </c>
      <c r="C51" s="41">
        <f>(((LARGE(G19:P19,1))+(LARGE(G19:P19,2))+(LARGE(G19:P19,3)))/3)*(B51)</f>
        <v>34615.776000000005</v>
      </c>
      <c r="V51" s="21">
        <f t="array" ref="V51">IF(N12&lt;=V40,0,NPV((N11-N10),0,0,0,0,0,0,0,0,0,0,0,0,0,0,0,0,0,0,0,0,0,0,0,0,0,0,0,0,C51))</f>
        <v>20634.241532820153</v>
      </c>
      <c r="W51" s="13">
        <f>IF(N12&lt;=W40,0,V51*(1-N11+N10))</f>
        <v>20262.825185229391</v>
      </c>
      <c r="X51" s="13">
        <f>IF(N12&lt;=X40,0,W51*(1-N11+N10))</f>
        <v>19898.09433189526</v>
      </c>
      <c r="Y51" s="13">
        <f>IF(N12&lt;=Y40,0,X51*(1-N11+N10))</f>
        <v>19539.928633921143</v>
      </c>
      <c r="Z51" s="13">
        <f>IF(N12&lt;=Z40,0,Y51*(1-N11+N10))</f>
        <v>19188.209918510562</v>
      </c>
      <c r="AA51" s="13">
        <f>IF(N12&lt;=AA40,0,Z51*(1-N11+N10))</f>
        <v>18842.822139977372</v>
      </c>
      <c r="AB51" s="13">
        <f>IF(N12&lt;=AB40,0,AA51*(1-N11+N10))</f>
        <v>18503.651341457778</v>
      </c>
      <c r="AC51" s="13">
        <f>IF(N12&lt;=AC40,0,AB51*(1-N11+N10))</f>
        <v>18170.585617311539</v>
      </c>
      <c r="AD51" s="13">
        <f>IF(N12&lt;=AD40,0,AC51*(1-N11+N10))</f>
        <v>17843.515076199932</v>
      </c>
      <c r="AE51" s="13">
        <f>IF(N12&lt;=AE40,0,AD51*(1-N11+N10))</f>
        <v>17522.331804828333</v>
      </c>
      <c r="AF51" s="13">
        <f>IF(N12&lt;=AF40,0,AE51*(1-N11+N10))</f>
        <v>17206.929832341422</v>
      </c>
      <c r="AG51" s="13">
        <f>IF(N12&lt;=AG40,0,AF51*(1-N11+N10))</f>
        <v>16897.205095359277</v>
      </c>
      <c r="AH51" s="13">
        <f>IF(N12&lt;=AH40,0,AG51*(1-N11+N10))</f>
        <v>16593.055403642811</v>
      </c>
      <c r="AI51" s="13">
        <f>IF(N12&lt;=AI40,0,AH51*(1-N11+N10))</f>
        <v>16294.38040637724</v>
      </c>
      <c r="AJ51" s="13">
        <f>IF(N12&lt;=AJ40,0,AI51*(1-N11+N10))</f>
        <v>16001.08155906245</v>
      </c>
      <c r="AK51" s="13">
        <f>IF(N12&lt;=AK40,0,AJ51*(1-N11+N10))</f>
        <v>15713.062090999325</v>
      </c>
      <c r="AL51" s="13">
        <f>IF(N12&lt;=AL40,0,AK51*(1-N11+N10))</f>
        <v>15430.226973361338</v>
      </c>
      <c r="AM51" s="13">
        <f>IF(N12&lt;=AM40,0,AL51*(1-N11+N10))</f>
        <v>15152.482887840833</v>
      </c>
      <c r="AN51" s="13">
        <f>IF(N12&lt;=AN40,0,AM51*(1-N11+N10))</f>
        <v>14879.738195859698</v>
      </c>
      <c r="AO51" s="13">
        <f>IF(N12&lt;=AO40,0,AN51*(1-N11+N10))</f>
        <v>14611.902908334223</v>
      </c>
      <c r="AP51" s="13">
        <f>IF(N12&lt;=AP40,0,AO51*(1-N11+N10))</f>
        <v>14348.888655984207</v>
      </c>
      <c r="AQ51" s="13">
        <f>IF(N12&lt;=AQ40,0,AP51*(1-N11+N10))</f>
        <v>14090.608660176491</v>
      </c>
      <c r="AR51" s="13">
        <f>IF(N12&lt;=AR40,0,AQ51*(1-N11+N10))</f>
        <v>13836.977704293315</v>
      </c>
      <c r="AS51" s="13">
        <f>IF(N12&lt;=AS40,0,AR51*(1-N11+N10))</f>
        <v>13587.912105616035</v>
      </c>
      <c r="AT51" s="13">
        <f>IF(N12&lt;=AT40,0,AS51*(1-N11+N10))</f>
        <v>13343.329687714946</v>
      </c>
      <c r="AU51" s="13">
        <f>IF(N12&lt;=AU40,0,AT51*(1-N11+N10))</f>
        <v>13103.149753336076</v>
      </c>
      <c r="AV51" s="13">
        <f>IF(N12&lt;=AV40,0,AU51*(1-N11+N10))</f>
        <v>0</v>
      </c>
      <c r="AW51" s="13">
        <f>IF(N12&lt;=AW40,0,AV51*(1-N11+N10))</f>
        <v>0</v>
      </c>
      <c r="AX51" s="13">
        <f>IF(N12&lt;=AX40,0,AW51*(1-N11+N10))</f>
        <v>0</v>
      </c>
      <c r="AY51" s="13">
        <f>IF(N12&lt;=AY40,0,AX51*(1-N11+N10))</f>
        <v>0</v>
      </c>
      <c r="AZ51" s="13">
        <f>IF(N12&lt;=AZ40,0,AY51*(1-N11+N10))</f>
        <v>0</v>
      </c>
      <c r="BA51" s="13">
        <f>IF(N12&lt;=BA40,0,AZ51*(1-N11+N10))</f>
        <v>0</v>
      </c>
      <c r="BB51" s="13">
        <f>IF(N12&lt;=BB40,0,BA51*(1-N11+N10))</f>
        <v>0</v>
      </c>
      <c r="BC51" s="13">
        <f>IF(N12&lt;=BC40,0,BB51*(1-N11+N10))</f>
        <v>0</v>
      </c>
    </row>
    <row r="52" spans="1:68" ht="15.75" customHeight="1" x14ac:dyDescent="0.2">
      <c r="A52" s="39">
        <v>12</v>
      </c>
      <c r="B52" s="40">
        <f>(A52*N7)</f>
        <v>0.38400000000000001</v>
      </c>
      <c r="C52" s="41">
        <f>(((LARGE(F19:O19,1))+(LARGE(F19:O19,2))+(LARGE(F19:O19,3)))/3)*(B52)</f>
        <v>31256.064000000002</v>
      </c>
      <c r="V52" s="21">
        <f t="array" ref="V52">IF(N12&lt;=V40,0,NPV((N11-N10),0,0,0,0,0,0,0,0,0,0,0,0,0,0,0,0,0,0,0,0,0,0,0,0,0,0,0,0,0,C52))</f>
        <v>18302.100990978481</v>
      </c>
      <c r="W52" s="13">
        <f>IF(N12&lt;=W40,0,V52*(1-N11+N10))</f>
        <v>17972.663173140867</v>
      </c>
      <c r="X52" s="13">
        <f>IF(N12&lt;=X40,0,W52*(1-N11+N10))</f>
        <v>17649.155236024329</v>
      </c>
      <c r="Y52" s="13">
        <f>IF(N12&lt;=Y40,0,X52*(1-N11+N10))</f>
        <v>17331.470441775891</v>
      </c>
      <c r="Z52" s="13">
        <f>IF(N12&lt;=Z40,0,Y52*(1-N11+N10))</f>
        <v>17019.503973823925</v>
      </c>
      <c r="AA52" s="13">
        <f>IF(N12&lt;=AA40,0,Z52*(1-N11+N10))</f>
        <v>16713.152902295093</v>
      </c>
      <c r="AB52" s="13">
        <f>IF(N12&lt;=AB40,0,AA52*(1-N11+N10))</f>
        <v>16412.316150053779</v>
      </c>
      <c r="AC52" s="13">
        <f>IF(N12&lt;=AC40,0,AB52*(1-N11+N10))</f>
        <v>16116.89445935281</v>
      </c>
      <c r="AD52" s="13">
        <f>IF(N12&lt;=AD40,0,AC52*(1-N11+N10))</f>
        <v>15826.79035908446</v>
      </c>
      <c r="AE52" s="13">
        <f>IF(N12&lt;=AE40,0,AD52*(1-N11+N10))</f>
        <v>15541.90813262094</v>
      </c>
      <c r="AF52" s="13">
        <f>IF(N12&lt;=AF40,0,IF(N12&lt;=AF40,0,AE52*(1-N11+N10)))</f>
        <v>15262.153786233763</v>
      </c>
      <c r="AG52" s="13">
        <f>IF(N12&lt;=AG40,0,AF52*(1-N11+N10))</f>
        <v>14987.435018081555</v>
      </c>
      <c r="AH52" s="13">
        <f>IF(N12&lt;=AH40,0,AG52*(1-N11+N10))</f>
        <v>14717.661187756086</v>
      </c>
      <c r="AI52" s="13">
        <f>IF(N12&lt;=AI40,0,AH52*(1-N11+N10))</f>
        <v>14452.743286376477</v>
      </c>
      <c r="AJ52" s="13">
        <f>IF(N12&lt;=AJ40,0,AI52*(1-N11+N10))</f>
        <v>14192.593907221701</v>
      </c>
      <c r="AK52" s="13">
        <f>IF(N12&lt;=AK40,0,AJ52*(1-N11+N10))</f>
        <v>13937.127216891709</v>
      </c>
      <c r="AL52" s="13">
        <f>IF(N12&lt;=AL40,0,AK52*(1-N11+N10))</f>
        <v>13686.258926987659</v>
      </c>
      <c r="AM52" s="13">
        <f>IF(N12&lt;=AM40,0,AL52*(1-N11+N10))</f>
        <v>13439.906266301881</v>
      </c>
      <c r="AN52" s="13">
        <f>IF(N12&lt;=AN40,0,AM52*(1-N11+N10))</f>
        <v>13197.987953508447</v>
      </c>
      <c r="AO52" s="13">
        <f>IF(N12&lt;=AO40,0,AN52*(1-N11+N10))</f>
        <v>12960.424170345295</v>
      </c>
      <c r="AP52" s="13">
        <f>IF(N12&lt;=AP40,0,AO52*(1-N11+N10))</f>
        <v>12727.13653527908</v>
      </c>
      <c r="AQ52" s="13">
        <f>IF(N12&lt;=AQ40,0,AP52*(1-N11+N10))</f>
        <v>12498.048077644056</v>
      </c>
      <c r="AR52" s="13">
        <f>IF(N12&lt;=AR40,0,AQ52*(1-N11+N10))</f>
        <v>12273.083212246464</v>
      </c>
      <c r="AS52" s="13">
        <f>IF(N12&lt;=AS40,0,AR52*(1-N11+N10))</f>
        <v>12052.167714426027</v>
      </c>
      <c r="AT52" s="13">
        <f>IF(N12&lt;=AT40,0,AS52*(1-N11+N10))</f>
        <v>11835.228695566359</v>
      </c>
      <c r="AU52" s="13">
        <f>IF(N12&lt;=AU40,0,AT52*(1-N11+N10))</f>
        <v>11622.194579046163</v>
      </c>
      <c r="AV52" s="13">
        <f>IF(N12&lt;=AV40,0,AU52*(1-N11+N10))</f>
        <v>0</v>
      </c>
      <c r="AW52" s="13">
        <f>IF(N12&lt;=AW40,0,AV52*(1-N11+N10))</f>
        <v>0</v>
      </c>
      <c r="AX52" s="13">
        <f>IF(N12&lt;=AX40,0,AW52*(1-N11+N10))</f>
        <v>0</v>
      </c>
      <c r="AY52" s="13">
        <f>IF(N12&lt;=AY40,0,AX52*(1-N11+N10))</f>
        <v>0</v>
      </c>
      <c r="AZ52" s="13">
        <f>IF(N12&lt;=AZ40,0,AY52*(1-N11+N10))</f>
        <v>0</v>
      </c>
      <c r="BA52" s="13">
        <f>IF(N12&lt;=BA40,0,AZ52*(1-N11+N10))</f>
        <v>0</v>
      </c>
      <c r="BB52" s="13">
        <f>IF(N12&lt;=BB40,0,BA52*(1-N11+N10))</f>
        <v>0</v>
      </c>
      <c r="BC52" s="13">
        <f>IF(N12&lt;=BC40,0,BB52*(1-N11+N10))</f>
        <v>0</v>
      </c>
    </row>
    <row r="53" spans="1:68" ht="15.75" customHeight="1" x14ac:dyDescent="0.2">
      <c r="A53" s="39">
        <v>11</v>
      </c>
      <c r="B53" s="40">
        <f>(A53*N7)</f>
        <v>0.35199999999999998</v>
      </c>
      <c r="C53" s="41">
        <f>(((LARGE(E19:N19,1))+(LARGE(E19:N19,2))+(LARGE(E19:N19,3)))/3)*(B53)</f>
        <v>28012.511999999999</v>
      </c>
      <c r="V53" s="21">
        <f t="array" ref="V53">IF(N12&lt;=V40,0,NPV((N11-N10),0,0,0,0,0,0,0,0,0,0,0,0,0,0,0,0,0,0,0,0,0,0,0,0,0,0,0,0,0,0,C53))</f>
        <v>16112.797073147942</v>
      </c>
      <c r="W53" s="13">
        <f>IF(N12&lt;=W40,0,V53*(1-N11+N10))</f>
        <v>15822.766725831279</v>
      </c>
      <c r="X53" s="13">
        <f>IF(N12&lt;=X40,0,W53*(1-N11+N10))</f>
        <v>15537.956924766317</v>
      </c>
      <c r="Y53" s="13">
        <f>IF(N12&lt;=Y40,0,X53*(1-N11+N10))</f>
        <v>15258.273700120522</v>
      </c>
      <c r="Z53" s="13">
        <f>IF(N12&lt;=Z40,0,Y53*(1-N11+N10))</f>
        <v>14983.624773518353</v>
      </c>
      <c r="AA53" s="13">
        <f>IF(N12&lt;=AA40,0,Z53*(1-N11+N10))</f>
        <v>14713.919527595022</v>
      </c>
      <c r="AB53" s="13">
        <f>IF(N12&lt;=AB40,0,AA53*(1-N11+N10))</f>
        <v>14449.068976098311</v>
      </c>
      <c r="AC53" s="13">
        <f>IF(N12&lt;=AC40,0,AB53*(1-N11+N10))</f>
        <v>14188.985734528542</v>
      </c>
      <c r="AD53" s="13">
        <f>IF(N12&lt;=AD40,0,AC53*(1-N11+N10))</f>
        <v>13933.583991307029</v>
      </c>
      <c r="AE53" s="13">
        <f>IF(N12&lt;=AE40,0,AD53*(1-N11+N10))</f>
        <v>13682.779479463501</v>
      </c>
      <c r="AF53" s="13">
        <f>IF(N12&lt;=AF40,0,AE53*(1-N11+N10))</f>
        <v>13436.489448833157</v>
      </c>
      <c r="AG53" s="13">
        <f>IF(N12&lt;=AG40,0,AF53*(1-N11+N10))</f>
        <v>13194.632638754161</v>
      </c>
      <c r="AH53" s="13">
        <f>IF(N12&lt;=AH40,0,AG53*(1-N11+N10))</f>
        <v>12957.129251256587</v>
      </c>
      <c r="AI53" s="13">
        <f>IF(N12&lt;=AI40,0,AH53*(1-N11+N10))</f>
        <v>12723.900924733967</v>
      </c>
      <c r="AJ53" s="13">
        <f>IF(N12&lt;=AJ40,0,AI53*(1-N11+N10))</f>
        <v>12494.870708088756</v>
      </c>
      <c r="AK53" s="13">
        <f>IF(N12&lt;=AK40,0,AJ53*(1-N11+N10))</f>
        <v>12269.963035343158</v>
      </c>
      <c r="AL53" s="13">
        <f>IF(N12&lt;=AL40,0,AK53*(1-N11+N10))</f>
        <v>12049.103700706981</v>
      </c>
      <c r="AM53" s="13">
        <f>IF(N12&lt;=AM40,0,AL53*(1-N11+N10))</f>
        <v>11832.219834094254</v>
      </c>
      <c r="AN53" s="13">
        <f>IF(N12&lt;=AN40,0,AM53*(1-N11+N10))</f>
        <v>11619.239877080558</v>
      </c>
      <c r="AO53" s="13">
        <f>IF(N12&lt;=AO40,0,AN53*(1-N11+N10))</f>
        <v>11410.093559293107</v>
      </c>
      <c r="AP53" s="13">
        <f>IF(N12&lt;=AP40,0,AO53*(1-N11+N10))</f>
        <v>11204.711875225832</v>
      </c>
      <c r="AQ53" s="13">
        <f>IF(N12&lt;=AQ40,0,AP53*(1-N11+N10))</f>
        <v>11003.027061471767</v>
      </c>
      <c r="AR53" s="13">
        <f>IF(N12&lt;=AR40,0,AQ53*(1-N11+N10))</f>
        <v>10804.972574365274</v>
      </c>
      <c r="AS53" s="13">
        <f>IF(N12&lt;=AS40,0,AR53*(1-N11+N10))</f>
        <v>10610.483068026699</v>
      </c>
      <c r="AT53" s="13">
        <f>IF(N12&lt;=AT40,0,AS53*(1-N11+N10))</f>
        <v>10419.494372802217</v>
      </c>
      <c r="AU53" s="13">
        <f>IF(N12&lt;=AU40,0,AT53*(1-N11+N10))</f>
        <v>10231.943474091777</v>
      </c>
      <c r="AV53" s="13">
        <f>IF(N12&lt;=AV40,0,AU53*(1-N11+N10))</f>
        <v>0</v>
      </c>
      <c r="AW53" s="13">
        <f>IF(N12&lt;=AW40,0,AV53*(1-N11+N10))</f>
        <v>0</v>
      </c>
      <c r="AX53" s="13">
        <f>IF(N12&lt;=AX40,0,AW53*(1-N11+N10))</f>
        <v>0</v>
      </c>
      <c r="AY53" s="13">
        <f>IF(N12&lt;=AY40,0,AX53*(1-N11+N10))</f>
        <v>0</v>
      </c>
      <c r="AZ53" s="13">
        <f>IF(N12&lt;=AZ40,0,AY53*(1-N11+N10))</f>
        <v>0</v>
      </c>
      <c r="BA53" s="13">
        <f>IF(N12&lt;=BA40,0,AZ53*(1-N11+N10))</f>
        <v>0</v>
      </c>
      <c r="BB53" s="13">
        <f>IF(N12&lt;=BB40,0,BA53*(1-N11+N10))</f>
        <v>0</v>
      </c>
      <c r="BC53" s="13">
        <f>IF(N12&lt;=BC40,0,BB53*(1-N11+N10))</f>
        <v>0</v>
      </c>
    </row>
    <row r="54" spans="1:68" ht="15.75" customHeight="1" x14ac:dyDescent="0.2">
      <c r="A54" s="39">
        <v>10</v>
      </c>
      <c r="B54" s="40">
        <f>(A54*N7)</f>
        <v>0.32</v>
      </c>
      <c r="C54" s="41">
        <f>(((LARGE(D19:M19,1))+(LARGE(D19:M19,2))+(LARGE(D19:M19,3)))/3)*(B54)</f>
        <v>24885.119999999999</v>
      </c>
      <c r="V54" s="21">
        <f t="array" ref="V54">IF(N12&lt;=V40,0,NPV((N11-N10),0,0,0,0,0,0,0,0,0,0,0,0,0,0,0,0,0,0,0,0,0,0,0,0,0,0,0,0,0,0,0,C54))</f>
        <v>14060.826302244775</v>
      </c>
      <c r="W54" s="13">
        <f>IF(N12&lt;=W40,0,V54*(1-N11+N10))</f>
        <v>13807.731428804369</v>
      </c>
      <c r="X54" s="13">
        <f>IF(N12&lt;=X40,0,W54*(1-N11+N10))</f>
        <v>13559.19226308589</v>
      </c>
      <c r="Y54" s="13">
        <f>IF(N12&lt;=Y40,0,X54*(1-N11+N10))</f>
        <v>13315.126802350343</v>
      </c>
      <c r="Z54" s="13">
        <f>IF(N12&lt;=Z40,0,Y54*(1-N11+N10))</f>
        <v>13075.454519908037</v>
      </c>
      <c r="AA54" s="13">
        <f>IF(N12&lt;=AA40,0,Z54*(1-N11+N10))</f>
        <v>12840.096338549693</v>
      </c>
      <c r="AB54" s="13">
        <f>IF(N12&lt;=AB40,0,AA54*(1-N11+N10))</f>
        <v>12608.974604455798</v>
      </c>
      <c r="AC54" s="13">
        <f>IF(N12&lt;=AC40,0,AB54*(1-N11+N10))</f>
        <v>12382.013061575593</v>
      </c>
      <c r="AD54" s="13">
        <f>IF(N12&lt;=AD40,0,AC54*(1-N11+N10))</f>
        <v>12159.136826467233</v>
      </c>
      <c r="AE54" s="13">
        <f>IF(N12&lt;=AE40,0,AD54*(1-N11+N10))</f>
        <v>11940.272363590822</v>
      </c>
      <c r="AF54" s="13">
        <f>IF(N12&lt;=AF40,0,AE54*(1-N11+N10))</f>
        <v>11725.347461046187</v>
      </c>
      <c r="AG54" s="13">
        <f>IF(N12&lt;=AG40,0,AF54*(1-N11+N10))</f>
        <v>11514.291206747355</v>
      </c>
      <c r="AH54" s="13">
        <f>IF(N12&lt;=AH40,0,AG54*(1-N11+N10))</f>
        <v>11307.033965025903</v>
      </c>
      <c r="AI54" s="13">
        <f>IF(N12&lt;=AI40,0,AH54*(1-N11+N10))</f>
        <v>11103.507353655437</v>
      </c>
      <c r="AJ54" s="13">
        <f>IF(N12&lt;=AJ40,0,AI54*(1-N11+N10))</f>
        <v>10903.64422128964</v>
      </c>
      <c r="AK54" s="13">
        <f>IF(N12&lt;=AK40,0,AJ54*(1-N11+N10))</f>
        <v>10707.378625306426</v>
      </c>
      <c r="AL54" s="13">
        <f>IF(N12&lt;=AL40,0,AK54*(1-N11+N10))</f>
        <v>10514.64581005091</v>
      </c>
      <c r="AM54" s="13">
        <f>IF(N12&lt;=AM40,0,AL54*(1-N11+N10))</f>
        <v>10325.382185469993</v>
      </c>
      <c r="AN54" s="13">
        <f>IF(N12&lt;=AN40,0,AM54*(1-N11+N10))</f>
        <v>10139.525306131532</v>
      </c>
      <c r="AO54" s="13">
        <f>IF(N12&lt;=AO40,0,AN54*(1-N11+N10))</f>
        <v>9957.0138506211642</v>
      </c>
      <c r="AP54" s="13">
        <f>IF(N12&lt;=AP40,0,AO54*(1-N11+N10))</f>
        <v>9777.7876013099831</v>
      </c>
      <c r="AQ54" s="13">
        <f>IF(N12&lt;=AQ40,0,AP54*(1-N11+N10))</f>
        <v>9601.7874244864033</v>
      </c>
      <c r="AR54" s="13">
        <f>IF(N12&lt;=AR40,0,AQ54*(1-N11+N10))</f>
        <v>9428.9552508456472</v>
      </c>
      <c r="AS54" s="13">
        <f>IF(N12&lt;=AS40,0,AR54*(1-N11+N10))</f>
        <v>9259.234056330426</v>
      </c>
      <c r="AT54" s="13">
        <f>IF(N12&lt;=AT40,0,AS54*(1-N11+N10))</f>
        <v>9092.5678433164776</v>
      </c>
      <c r="AU54" s="13">
        <f>IF(N12&lt;=AU40,0,AT54*(1-N11+N10))</f>
        <v>8928.9016221367801</v>
      </c>
      <c r="AV54" s="13">
        <f>IF(N12&lt;=AV40,0,AU54*(1-N11+N10))</f>
        <v>0</v>
      </c>
      <c r="AW54" s="13">
        <f>IF(N12&lt;=AW40,0,AV54*(1-N11+N10))</f>
        <v>0</v>
      </c>
      <c r="AX54" s="13">
        <f>IF(N12&lt;=AX40,0,AW54*(1-N11+N10))</f>
        <v>0</v>
      </c>
      <c r="AY54" s="13">
        <f>IF(N12&lt;=AY40,0,AX54*(1-N11+N10))</f>
        <v>0</v>
      </c>
      <c r="AZ54" s="13">
        <f>IF(N12&lt;=AZ40,0,AY54*(1-N11+N10))</f>
        <v>0</v>
      </c>
      <c r="BA54" s="13">
        <f>IF(N12&lt;=BA40,0,AZ54*(1-N11+N10))</f>
        <v>0</v>
      </c>
      <c r="BB54" s="13">
        <f>IF(N12&lt;=BB40,0,BA54*(1-N11+N10))</f>
        <v>0</v>
      </c>
      <c r="BC54" s="13">
        <f>IF(N12&lt;=BC40,0,BB54*(1-N11+N10))</f>
        <v>0</v>
      </c>
    </row>
    <row r="55" spans="1:68" ht="15.75" customHeight="1" x14ac:dyDescent="0.2">
      <c r="A55" s="65"/>
      <c r="B55" s="63"/>
      <c r="C55" s="6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</row>
    <row r="56" spans="1:68" ht="15.75" customHeight="1" x14ac:dyDescent="0.2">
      <c r="A56" s="79" t="s">
        <v>70</v>
      </c>
      <c r="B56" s="63"/>
      <c r="C56" s="63"/>
      <c r="D56" s="22">
        <f>IF(N12&lt;=D40,0,N5)</f>
        <v>76429.183999999994</v>
      </c>
      <c r="E56" s="22">
        <f>IF(N12&lt;=E40,0,N5)</f>
        <v>76429.183999999994</v>
      </c>
      <c r="F56" s="22">
        <f>IF(N12&lt;=F40,0,N5)</f>
        <v>76429.183999999994</v>
      </c>
      <c r="G56" s="22">
        <f>IF(N12&lt;=G40,0,N5)</f>
        <v>76429.183999999994</v>
      </c>
      <c r="H56" s="22">
        <f>IF(N12&lt;=H40,0,N5)</f>
        <v>76429.183999999994</v>
      </c>
      <c r="I56" s="22">
        <f>IF(N12&lt;=I40,0,N5)</f>
        <v>76429.183999999994</v>
      </c>
      <c r="J56" s="22">
        <f>IF(N12&lt;=J40,0,N5)</f>
        <v>76429.183999999994</v>
      </c>
      <c r="K56" s="22">
        <f>IF(N12&lt;=K40,0,N5)</f>
        <v>76429.183999999994</v>
      </c>
      <c r="L56" s="22">
        <f>IF(N12&lt;=L40,0,N5)</f>
        <v>76429.183999999994</v>
      </c>
      <c r="M56" s="22">
        <f>IF(N12&lt;=M40,0,N5)</f>
        <v>76429.183999999994</v>
      </c>
      <c r="N56" s="22">
        <f>IF(N12&lt;=N40,0,N5)</f>
        <v>76429.183999999994</v>
      </c>
      <c r="O56" s="22">
        <f>IF(N12&lt;=O40,0,N5)</f>
        <v>76429.183999999994</v>
      </c>
      <c r="P56" s="22">
        <f>IF(N12&lt;=P40,0,N5)</f>
        <v>76429.183999999994</v>
      </c>
      <c r="Q56" s="22">
        <f>IF(N12&lt;=Q40,0,N5)</f>
        <v>76429.183999999994</v>
      </c>
      <c r="R56" s="22">
        <f>IF(N12&lt;=R40,0,N5)</f>
        <v>76429.183999999994</v>
      </c>
      <c r="S56" s="22">
        <f>IF(N12&lt;=S40,0,N5)</f>
        <v>76429.183999999994</v>
      </c>
      <c r="T56" s="22">
        <f>IF(N12&lt;=T40,0,N5)</f>
        <v>76429.183999999994</v>
      </c>
      <c r="U56" s="22">
        <f>IF(N12&lt;=U40,0,N5)</f>
        <v>76429.183999999994</v>
      </c>
      <c r="V56" s="22">
        <f>IF(N12&lt;=V40,0,N5)</f>
        <v>76429.183999999994</v>
      </c>
      <c r="W56" s="22">
        <f>IF(N12&lt;=W40,0,N5)</f>
        <v>76429.183999999994</v>
      </c>
      <c r="X56" s="22">
        <f>IF(N12&lt;=X40,0,N5)</f>
        <v>76429.183999999994</v>
      </c>
      <c r="Y56" s="22">
        <f>IF(N12&lt;=Y40,0,N5)</f>
        <v>76429.183999999994</v>
      </c>
      <c r="Z56" s="22">
        <f>IF(N12&lt;=Z40,0,N5)</f>
        <v>76429.183999999994</v>
      </c>
      <c r="AA56" s="22">
        <f>IF(N12&lt;=AA40,0,N5)</f>
        <v>76429.183999999994</v>
      </c>
      <c r="AB56" s="22">
        <f>IF(N12&lt;=AB40,0,N5)</f>
        <v>76429.183999999994</v>
      </c>
      <c r="AC56" s="22">
        <f>IF(N12&lt;=AC40,0,N5)</f>
        <v>76429.183999999994</v>
      </c>
      <c r="AD56" s="22">
        <f>IF(N12&lt;=AD40,0,N5)</f>
        <v>76429.183999999994</v>
      </c>
      <c r="AE56" s="22">
        <f>IF(N12&lt;=AE40,0,N5)</f>
        <v>76429.183999999994</v>
      </c>
      <c r="AF56" s="22">
        <f>IF(N12&lt;=AF40,0,N5)</f>
        <v>76429.183999999994</v>
      </c>
      <c r="AG56" s="22">
        <f>IF(N12&lt;=AG40,0,N5)</f>
        <v>76429.183999999994</v>
      </c>
      <c r="AH56" s="22">
        <f>IF(N12&lt;=AH40,0,N5)</f>
        <v>76429.183999999994</v>
      </c>
      <c r="AI56" s="22">
        <f>IF(N12&lt;=AI40,0,N5)</f>
        <v>76429.183999999994</v>
      </c>
      <c r="AJ56" s="22">
        <f>IF(N12&lt;=AJ40,0,N5)</f>
        <v>76429.183999999994</v>
      </c>
      <c r="AK56" s="22">
        <f>IF(N12&lt;=AK40,0,N5)</f>
        <v>76429.183999999994</v>
      </c>
      <c r="AL56" s="22">
        <f>IF(N12&lt;=AL40,0,N5)</f>
        <v>76429.183999999994</v>
      </c>
      <c r="AM56" s="22">
        <f>IF(N12&lt;=AM40,0,N5)</f>
        <v>76429.183999999994</v>
      </c>
      <c r="AN56" s="22">
        <f>IF(N12&lt;=AN40,0,N5)</f>
        <v>76429.183999999994</v>
      </c>
      <c r="AO56" s="22">
        <f>IF(N12&lt;=AO40,0,N5)</f>
        <v>76429.183999999994</v>
      </c>
      <c r="AP56" s="22">
        <f>IF(N12&lt;=AP40,0,N5)</f>
        <v>76429.183999999994</v>
      </c>
      <c r="AQ56" s="22">
        <f>IF(N12&lt;=AQ40,0,N5)</f>
        <v>76429.183999999994</v>
      </c>
      <c r="AR56" s="22">
        <f>IF(N12&lt;=AR40,0,N5)</f>
        <v>76429.183999999994</v>
      </c>
      <c r="AS56" s="22">
        <f>IF(N12&lt;=AS40,0,N5)</f>
        <v>76429.183999999994</v>
      </c>
      <c r="AT56" s="22">
        <f>IF(N12&lt;=AT40,0,N5)</f>
        <v>76429.183999999994</v>
      </c>
      <c r="AU56" s="22">
        <f>IF(N12&lt;=AU40,0,N5)</f>
        <v>76429.183999999994</v>
      </c>
      <c r="AV56" s="22">
        <f>IF(N12&lt;=AV40,0,N5)</f>
        <v>0</v>
      </c>
      <c r="AW56" s="22">
        <f>IF(N12&lt;=AW40,0,N5)</f>
        <v>0</v>
      </c>
      <c r="AX56" s="22">
        <f>IF(N12&lt;=AX40,0,N5)</f>
        <v>0</v>
      </c>
      <c r="AY56" s="22">
        <f>IF(N12&lt;=AY40,0,N5)</f>
        <v>0</v>
      </c>
      <c r="AZ56" s="22">
        <f>IF(N12&lt;=AZ40,0,N5)</f>
        <v>0</v>
      </c>
      <c r="BA56" s="22">
        <f>IF(N12&lt;=BA40,0,N5)</f>
        <v>0</v>
      </c>
      <c r="BB56" s="22">
        <f>IF(N12&lt;=BB40,0,N5)</f>
        <v>0</v>
      </c>
      <c r="BC56" s="22">
        <f>IF(N12&lt;=BC40,0,N5)</f>
        <v>0</v>
      </c>
    </row>
    <row r="57" spans="1:68" ht="15.75" customHeight="1" x14ac:dyDescent="0.2">
      <c r="A57" s="80" t="s">
        <v>71</v>
      </c>
      <c r="B57" s="63"/>
      <c r="C57" s="63"/>
      <c r="D57" s="22">
        <f>IF(N12&lt;=D40,0,MAX(0,(-FV((N8-N11),1,-D56,AA37))))</f>
        <v>1636161.4323249715</v>
      </c>
      <c r="E57" s="22">
        <f>IF(N12&lt;=E40,0,MAX(0,(-FV((N8-N11),1,-E56,D57))))</f>
        <v>1648903.0463866827</v>
      </c>
      <c r="F57" s="22">
        <f>IF(N12&lt;=F40,0,MAX(0,(-FV((N8-N11),1,-F56,E57))))</f>
        <v>1662339.078414757</v>
      </c>
      <c r="G57" s="22">
        <f>IF(N12&lt;=G40,0,MAX(0,(-FV((N8-N11),1,-G56,F57))))</f>
        <v>1676507.3741883615</v>
      </c>
      <c r="H57" s="22">
        <f>IF(N12&lt;=H40,0,MAX(0,(-FV((N8-N11),1,-H56,G57))))</f>
        <v>1691447.8420816273</v>
      </c>
      <c r="I57" s="22">
        <f>IF(N12&lt;=I40,0,MAX(0,(-FV((N8-N11),1,-I56,H57))))</f>
        <v>1707202.5654750762</v>
      </c>
      <c r="J57" s="22">
        <f>IF(N12&lt;=J40,0,MAX(0,(-FV((N8-N11),1,-J56,I57))))</f>
        <v>1723815.921293468</v>
      </c>
      <c r="K57" s="22">
        <f>IF(N12&lt;=K40,0,MAX(0,(-FV((N8-N11),1,-K56,J57))))</f>
        <v>1741334.7050039622</v>
      </c>
      <c r="L57" s="22">
        <f>IF(N12&lt;=L40,0,MAX(0,(-FV((N8-N11),1,-L56,K57))))</f>
        <v>1759808.2624266781</v>
      </c>
      <c r="M57" s="22">
        <f>IF(N12&lt;=M40,0,MAX(0,(-FV((N8-N11),1,-M56,L57))))</f>
        <v>1779288.6287289322</v>
      </c>
      <c r="N57" s="22">
        <f>IF(N12&lt;=N40,0,MAX(0,(-FV((N8-N11),1,-N56,M57))))</f>
        <v>1799830.6749946591</v>
      </c>
      <c r="O57" s="22">
        <f>IF(N12&lt;=O40,0,MAX(0,(-FV((N8-N11),1,-O56,N57))))</f>
        <v>1821492.2627818682</v>
      </c>
      <c r="P57" s="22">
        <f>IF(N12&lt;=P40,0,MAX(0,(-FV((N8-N11),1,-P56,O57))))</f>
        <v>1844334.4071034801</v>
      </c>
      <c r="Q57" s="22">
        <f>IF(N12&lt;=Q40,0,MAX(0,(-FV((N8-N11),1,-Q56,P57))))</f>
        <v>1868421.4482906198</v>
      </c>
      <c r="R57" s="22">
        <f>IF(N12&lt;=R40,0,MAX(0,(-FV((N8-N11),1,-R56,Q57))))</f>
        <v>1893821.2332224587</v>
      </c>
      <c r="S57" s="22">
        <f>IF(N12&lt;=S40,0,MAX(0,(-FV((N8-N11),1,-S56,R57))))</f>
        <v>1920605.3064330828</v>
      </c>
      <c r="T57" s="22">
        <f>IF(N12&lt;=T40,0,MAX(0,(-FV((N8-N11),1,-T56,S57))))</f>
        <v>1948849.1116336859</v>
      </c>
      <c r="U57" s="22">
        <f>IF(N12&lt;=U40,0,MAX(0,(-FV((N8-N11),1,-U56,T57))))</f>
        <v>1978632.2042177219</v>
      </c>
      <c r="V57" s="22">
        <f>IF(N12&lt;=V40,0,MAX(0,(-FV((N8-N11),1,-V56,U57))))</f>
        <v>2010038.4753475878</v>
      </c>
      <c r="W57" s="22">
        <f>IF(N12&lt;=W40,0,MAX(0,(-FV((N8-N11),1,-W56,V57))))</f>
        <v>2043156.3882540315</v>
      </c>
      <c r="X57" s="22">
        <f>IF(N12&lt;=X40,0,MAX(0,(-FV((N8-N11),1,-X56,W57))))</f>
        <v>2078079.2274138764</v>
      </c>
      <c r="Y57" s="22">
        <f>IF(N12&lt;=Y40,0,MAX(0,(-FV((N8-N11),1,-Y56,X57))))</f>
        <v>2114905.361307933</v>
      </c>
      <c r="Z57" s="22">
        <f>IF(N12&lt;=Z40,0,MAX(0,(-FV((N8-N11),1,-Z56,Y57))))</f>
        <v>2153738.5194992153</v>
      </c>
      <c r="AA57" s="22">
        <f>IF(N12&lt;=AA40,0,MAX(0,(-FV((N8-N11),1,-AA56,Z57))))</f>
        <v>2194688.0848119226</v>
      </c>
      <c r="AB57" s="22">
        <f>IF(N12&lt;=AB40,0,MAX(0,(-FV((N8-N11),1,-AB56,AA57))))</f>
        <v>2237869.4014341724</v>
      </c>
      <c r="AC57" s="22">
        <f>IF(N12&lt;=AC40,0,MAX(0,(-FV((N8-N11),1,-AC56,AB57))))</f>
        <v>2283404.0998123349</v>
      </c>
      <c r="AD57" s="22">
        <f>IF(N12&lt;=AD40,0,MAX(0,(-FV((N8-N11),1,-AD56,AC57))))</f>
        <v>2331420.4392521074</v>
      </c>
      <c r="AE57" s="22">
        <f>IF(N12&lt;=AE40,0,MAX(0,(-FV((N8-N11),1,-AE56,AD57))))</f>
        <v>2382053.6691913474</v>
      </c>
      <c r="AF57" s="22">
        <f>IF(N12&lt;=AF40,0,MAX(0,(-FV((N8-N11),1,-AF56,AE57))))</f>
        <v>2435446.4101622761</v>
      </c>
      <c r="AG57" s="22">
        <f>IF(N12&lt;=AG40,0,MAX(0,(-FV((N8-N11),1,-AG56,AF57))))</f>
        <v>2491749.05551612</v>
      </c>
      <c r="AH57" s="22">
        <f>IF(N12&lt;=AH40,0,MAX(0,(-FV((N8-N11),1,-AH56,AG57))))</f>
        <v>2551120.1950417487</v>
      </c>
      <c r="AI57" s="22">
        <f>IF(N12&lt;=AI40,0,MAX(0,(-FV((N8-N11),1,-AI56,AH57))))</f>
        <v>2613727.0616715243</v>
      </c>
      <c r="AJ57" s="22">
        <f>IF(N12&lt;=AJ40,0,MAX(0,(-FV((N8-N11),1,-AJ56,AI57))))</f>
        <v>2679746.0025326223</v>
      </c>
      <c r="AK57" s="22">
        <f>IF(N12&lt;=AK40,0,MAX(0,(-FV((N8-N11),1,-AK56,AJ57))))</f>
        <v>2749362.9756706501</v>
      </c>
      <c r="AL57" s="22">
        <f>IF(N12&lt;=AL40,0,MAX(0,(-FV((N8-N11),1,-AL56,AK57))))</f>
        <v>2822774.0738447006</v>
      </c>
      <c r="AM57" s="22">
        <f>IF(N12&lt;=AM40,0,MAX(0,(-FV((N8-N11),1,-AM56,AL57))))</f>
        <v>2900186.0768692368</v>
      </c>
      <c r="AN57" s="22">
        <f>IF(N12&lt;=AN40,0,MAX(0,(-FV((N8-N11),1,-AN56,AM57))))</f>
        <v>2981817.0340586104</v>
      </c>
      <c r="AO57" s="22">
        <f>IF(N12&lt;=AO40,0,MAX(0,(-FV((N8-N11),1,-AO56,AN57))))</f>
        <v>3067896.8784148046</v>
      </c>
      <c r="AP57" s="22">
        <f>IF(N12&lt;=AP40,0,MAX(0,(-FV((N8-N11),1,-AP56,AO57))))</f>
        <v>3158668.0742884115</v>
      </c>
      <c r="AQ57" s="22">
        <f>IF(N12&lt;=AQ40,0,MAX(0,(-FV((N8-N11),1,-AQ56,AP57))))</f>
        <v>3254386.3003371302</v>
      </c>
      <c r="AR57" s="22">
        <f>IF(N12&lt;=AR40,0,MAX(0,(-FV((N8-N11),1,-AR56,AQ57))))</f>
        <v>3355321.1697055041</v>
      </c>
      <c r="AS57" s="22">
        <f>IF(N12&lt;=AS40,0,MAX(0,(-FV((N8-N11),1,-AS56,AR57))))</f>
        <v>3461756.9894544543</v>
      </c>
      <c r="AT57" s="22">
        <f>IF(N12&lt;=AT40,0,MAX(0,(-FV((N8-N11),1,-AT56,AS57))))</f>
        <v>3573993.5613797223</v>
      </c>
      <c r="AU57" s="22">
        <f>IF(N12&lt;=AU40,0,MAX(0,(-FV((N8-N11),1,-AU56,AT57))))</f>
        <v>3692347.0264749173</v>
      </c>
      <c r="AV57" s="22">
        <f>IF(N12&lt;=AV40,0,MAX(0,(-FV((N8-N11),1,-AV56,AU57))))</f>
        <v>0</v>
      </c>
      <c r="AW57" s="22">
        <f>IF(N12&lt;=AW40,0,MAX(0,(-FV((N8-N11),1,-AW56,AV57))))</f>
        <v>0</v>
      </c>
      <c r="AX57" s="22">
        <f>IF(N12&lt;=AX40,0,MAX(0,(-FV((N8-N11),1,-AX56,AW57))))</f>
        <v>0</v>
      </c>
      <c r="AY57" s="22">
        <f>IF(N12&lt;=AY40,0,MAX(0,(-FV((N8-N11),1,-AY56,AX57))))</f>
        <v>0</v>
      </c>
      <c r="AZ57" s="22">
        <f>IF(N12&lt;=AZ40,0,MAX(0,(-FV((N8-N11),1,-AZ56,AY57))))</f>
        <v>0</v>
      </c>
      <c r="BA57" s="22">
        <f>IF(N12&lt;=BA40,0,MAX(0,(-FV((N8-N11),1,-BA56,AZ57))))</f>
        <v>0</v>
      </c>
      <c r="BB57" s="22">
        <f>IF(N12&lt;=BB40,0,MAX(0,(-FV((N8-N11),1,-BB56,BA57))))</f>
        <v>0</v>
      </c>
      <c r="BC57" s="22">
        <f>IF(N12&lt;=BC40,0,MAX(0,(-FV((N8-N11),1,-BC56,BB57))))</f>
        <v>0</v>
      </c>
    </row>
    <row r="58" spans="1:68" ht="15.75" customHeight="1" x14ac:dyDescent="0.2">
      <c r="E58" s="14"/>
      <c r="F58" s="14"/>
      <c r="G58" s="14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68" ht="15.75" customHeight="1" x14ac:dyDescent="0.2"/>
    <row r="60" spans="1:68" ht="15.75" customHeight="1" x14ac:dyDescent="0.2"/>
    <row r="61" spans="1:68" ht="15.75" customHeight="1" x14ac:dyDescent="0.2">
      <c r="K61" s="43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68" ht="15.75" customHeight="1" x14ac:dyDescent="0.2">
      <c r="F62" s="44"/>
      <c r="G62" s="43"/>
      <c r="H62" s="44"/>
      <c r="I62" s="44"/>
      <c r="K62" s="43"/>
      <c r="M62" s="43"/>
      <c r="O62" s="43"/>
      <c r="Q62" s="43"/>
      <c r="S62" s="43"/>
      <c r="U62" s="43"/>
      <c r="V62" s="43"/>
      <c r="W62" s="43"/>
      <c r="X62" s="43"/>
      <c r="Y62" s="45"/>
    </row>
    <row r="63" spans="1:68" ht="15.75" customHeight="1" x14ac:dyDescent="0.2">
      <c r="F63" s="44"/>
      <c r="G63" s="21"/>
      <c r="H63" s="44"/>
      <c r="I63" s="44"/>
      <c r="J63" s="44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5"/>
    </row>
    <row r="64" spans="1:68" ht="15.75" customHeight="1" x14ac:dyDescent="0.2">
      <c r="F64" s="44"/>
      <c r="G64" s="21"/>
      <c r="H64" s="44"/>
      <c r="I64" s="44"/>
      <c r="J64" s="44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5"/>
    </row>
    <row r="65" spans="6:29" ht="15.75" customHeight="1" x14ac:dyDescent="0.2">
      <c r="F65" s="44"/>
      <c r="G65" s="21"/>
      <c r="H65" s="44"/>
      <c r="I65" s="44"/>
      <c r="J65" s="44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5"/>
    </row>
    <row r="66" spans="6:29" ht="15.75" customHeight="1" x14ac:dyDescent="0.2">
      <c r="F66" s="44"/>
      <c r="G66" s="21"/>
      <c r="H66" s="44"/>
      <c r="I66" s="44"/>
      <c r="J66" s="44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5"/>
    </row>
    <row r="67" spans="6:29" ht="15.75" customHeight="1" x14ac:dyDescent="0.2">
      <c r="F67" s="44"/>
      <c r="G67" s="21"/>
      <c r="H67" s="44"/>
      <c r="I67" s="44"/>
      <c r="J67" s="44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5"/>
    </row>
    <row r="68" spans="6:29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29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29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29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29" ht="15.75" customHeight="1" x14ac:dyDescent="0.2">
      <c r="F72" s="44"/>
      <c r="G72" s="46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6:29" ht="15.75" customHeight="1" x14ac:dyDescent="0.2">
      <c r="F73" s="44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</row>
    <row r="74" spans="6:29" ht="15.75" customHeight="1" x14ac:dyDescent="0.2">
      <c r="F74" s="44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</row>
    <row r="75" spans="6:29" ht="15.75" customHeight="1" x14ac:dyDescent="0.2">
      <c r="F75" s="44"/>
    </row>
    <row r="76" spans="6:29" ht="15.75" customHeight="1" x14ac:dyDescent="0.2"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6:29" ht="15.75" customHeight="1" x14ac:dyDescent="0.2"/>
    <row r="78" spans="6:29" ht="15.75" customHeight="1" x14ac:dyDescent="0.2"/>
    <row r="79" spans="6:29" ht="15.75" customHeight="1" x14ac:dyDescent="0.2"/>
    <row r="80" spans="6:29" ht="15.75" customHeight="1" x14ac:dyDescent="0.2"/>
    <row r="81" spans="7:11" ht="15.75" customHeight="1" x14ac:dyDescent="0.2"/>
    <row r="82" spans="7:11" ht="15.75" customHeight="1" x14ac:dyDescent="0.2"/>
    <row r="83" spans="7:11" ht="15.75" customHeight="1" x14ac:dyDescent="0.2"/>
    <row r="84" spans="7:11" ht="15.75" customHeight="1" x14ac:dyDescent="0.2"/>
    <row r="85" spans="7:11" ht="15.75" customHeight="1" x14ac:dyDescent="0.2"/>
    <row r="86" spans="7:11" ht="15.75" customHeight="1" x14ac:dyDescent="0.2"/>
    <row r="87" spans="7:11" ht="15.75" customHeight="1" x14ac:dyDescent="0.2"/>
    <row r="88" spans="7:11" ht="15.75" customHeight="1" x14ac:dyDescent="0.2"/>
    <row r="89" spans="7:11" ht="15.75" customHeight="1" x14ac:dyDescent="0.2"/>
    <row r="90" spans="7:11" ht="15.75" customHeight="1" x14ac:dyDescent="0.2"/>
    <row r="91" spans="7:11" ht="15.75" customHeight="1" x14ac:dyDescent="0.2">
      <c r="G91" s="14"/>
      <c r="H91" s="14"/>
      <c r="I91" s="14"/>
      <c r="J91" s="14"/>
      <c r="K91" s="14"/>
    </row>
    <row r="92" spans="7:11" ht="15.75" customHeight="1" x14ac:dyDescent="0.2"/>
    <row r="93" spans="7:11" ht="15.75" customHeight="1" x14ac:dyDescent="0.2"/>
    <row r="94" spans="7:11" ht="15.75" customHeight="1" x14ac:dyDescent="0.2"/>
    <row r="95" spans="7:11" ht="15.75" customHeight="1" x14ac:dyDescent="0.2"/>
    <row r="96" spans="7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J6:M6"/>
    <mergeCell ref="J7:M7"/>
    <mergeCell ref="A11:I11"/>
    <mergeCell ref="J11:M11"/>
    <mergeCell ref="A7:I7"/>
    <mergeCell ref="H16:BP16"/>
    <mergeCell ref="J10:M10"/>
    <mergeCell ref="J12:M12"/>
    <mergeCell ref="J8:M8"/>
    <mergeCell ref="A9:I9"/>
    <mergeCell ref="A10:I10"/>
    <mergeCell ref="A12:I12"/>
    <mergeCell ref="P10:AA10"/>
    <mergeCell ref="P9:AA9"/>
    <mergeCell ref="J9:M9"/>
    <mergeCell ref="P8:AA8"/>
    <mergeCell ref="A15:AB15"/>
    <mergeCell ref="A8:I8"/>
    <mergeCell ref="A1:AA1"/>
    <mergeCell ref="J5:M5"/>
    <mergeCell ref="A4:I4"/>
    <mergeCell ref="J4:M4"/>
    <mergeCell ref="P4:AA4"/>
    <mergeCell ref="P5:AA5"/>
    <mergeCell ref="P3:AA3"/>
    <mergeCell ref="A40:C40"/>
    <mergeCell ref="A34:C34"/>
    <mergeCell ref="A37:C37"/>
    <mergeCell ref="A35:C35"/>
    <mergeCell ref="A36:C36"/>
    <mergeCell ref="A39:D39"/>
    <mergeCell ref="AA28:AB29"/>
    <mergeCell ref="AA17:AB17"/>
    <mergeCell ref="AA18:AB18"/>
    <mergeCell ref="AA19:AB19"/>
    <mergeCell ref="A24:C24"/>
    <mergeCell ref="A23:C23"/>
    <mergeCell ref="A20:C20"/>
    <mergeCell ref="A21:C21"/>
    <mergeCell ref="A17:C17"/>
    <mergeCell ref="A18:C18"/>
    <mergeCell ref="A41:C41"/>
    <mergeCell ref="A43:C43"/>
    <mergeCell ref="A55:C55"/>
    <mergeCell ref="A56:C56"/>
    <mergeCell ref="A57:C57"/>
    <mergeCell ref="A42:C42"/>
    <mergeCell ref="AA30:AB30"/>
    <mergeCell ref="AA37:AB37"/>
    <mergeCell ref="V44:AH44"/>
    <mergeCell ref="H39:BC39"/>
    <mergeCell ref="AA35:AB36"/>
    <mergeCell ref="P7:AA7"/>
    <mergeCell ref="P6:AA6"/>
    <mergeCell ref="O2:O14"/>
    <mergeCell ref="A3:I3"/>
    <mergeCell ref="J3:M3"/>
    <mergeCell ref="A14:I14"/>
    <mergeCell ref="A13:I13"/>
    <mergeCell ref="P11:AA11"/>
    <mergeCell ref="P12:AA12"/>
    <mergeCell ref="J14:M14"/>
    <mergeCell ref="J13:M13"/>
    <mergeCell ref="P2:AA2"/>
    <mergeCell ref="A2:I2"/>
    <mergeCell ref="J2:N2"/>
    <mergeCell ref="A5:I5"/>
    <mergeCell ref="A6:I6"/>
    <mergeCell ref="E39:G39"/>
    <mergeCell ref="A28:C28"/>
    <mergeCell ref="A29:C29"/>
    <mergeCell ref="A16:D16"/>
    <mergeCell ref="E16:G16"/>
    <mergeCell ref="A19:C19"/>
    <mergeCell ref="A26:C26"/>
    <mergeCell ref="A27:C27"/>
    <mergeCell ref="A22:C22"/>
    <mergeCell ref="A25:C25"/>
    <mergeCell ref="A31:C31"/>
    <mergeCell ref="A30:C30"/>
    <mergeCell ref="A32:C32"/>
    <mergeCell ref="A33:C33"/>
  </mergeCells>
  <conditionalFormatting sqref="D56:BC57">
    <cfRule type="cellIs" dxfId="58" priority="1" operator="equal">
      <formula>0</formula>
    </cfRule>
  </conditionalFormatting>
  <conditionalFormatting sqref="D57:BC57">
    <cfRule type="cellIs" dxfId="57" priority="2" operator="between">
      <formula>500000</formula>
      <formula>1</formula>
    </cfRule>
  </conditionalFormatting>
  <conditionalFormatting sqref="D34:M34">
    <cfRule type="cellIs" dxfId="56" priority="3" operator="lessThan">
      <formula>0</formula>
    </cfRule>
  </conditionalFormatting>
  <conditionalFormatting sqref="N35:W35">
    <cfRule type="cellIs" dxfId="55" priority="4" operator="lessThan">
      <formula>0</formula>
    </cfRule>
  </conditionalFormatting>
  <conditionalFormatting sqref="O49">
    <cfRule type="notContainsBlanks" dxfId="54" priority="5">
      <formula>LEN(TRIM(O49))&gt;0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P1000"/>
  <sheetViews>
    <sheetView tabSelected="1"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68" width="8.5703125" customWidth="1"/>
  </cols>
  <sheetData>
    <row r="1" spans="1:68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68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68" ht="15.75" customHeight="1" x14ac:dyDescent="0.25">
      <c r="A3" s="72" t="s">
        <v>4</v>
      </c>
      <c r="B3" s="63"/>
      <c r="C3" s="63"/>
      <c r="D3" s="63"/>
      <c r="E3" s="63"/>
      <c r="F3" s="63"/>
      <c r="G3" s="63"/>
      <c r="H3" s="63"/>
      <c r="I3" s="63"/>
      <c r="J3" s="91" t="s">
        <v>88</v>
      </c>
      <c r="K3" s="70"/>
      <c r="L3" s="70"/>
      <c r="M3" s="71"/>
      <c r="N3" s="5">
        <v>25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68" ht="15.75" customHeight="1" x14ac:dyDescent="0.25">
      <c r="A4" s="72" t="s">
        <v>7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68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68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16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68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22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68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68" ht="15.75" customHeight="1" x14ac:dyDescent="0.25">
      <c r="A9" s="72" t="s">
        <v>29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33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68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68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68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68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68" ht="15.75" customHeight="1" x14ac:dyDescent="0.25">
      <c r="A14" s="72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68" ht="15.75" customHeight="1" x14ac:dyDescent="0.2">
      <c r="A15" s="6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</row>
    <row r="16" spans="1:68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</row>
    <row r="17" spans="1:47" ht="15.75" customHeight="1" x14ac:dyDescent="0.25">
      <c r="A17" s="87" t="s">
        <v>45</v>
      </c>
      <c r="B17" s="63"/>
      <c r="C17" s="63"/>
      <c r="D17" s="12">
        <v>25</v>
      </c>
      <c r="E17" s="12">
        <v>26</v>
      </c>
      <c r="F17" s="61">
        <v>27</v>
      </c>
      <c r="G17" s="61">
        <v>28</v>
      </c>
      <c r="H17" s="61">
        <v>29</v>
      </c>
      <c r="I17" s="61">
        <v>30</v>
      </c>
      <c r="J17" s="61">
        <v>31</v>
      </c>
      <c r="K17" s="61">
        <v>32</v>
      </c>
      <c r="L17" s="61">
        <v>33</v>
      </c>
      <c r="M17" s="61">
        <v>34</v>
      </c>
      <c r="N17" s="61">
        <v>35</v>
      </c>
      <c r="O17" s="61">
        <v>36</v>
      </c>
      <c r="P17" s="61">
        <v>37</v>
      </c>
      <c r="Q17" s="61">
        <v>38</v>
      </c>
      <c r="R17" s="61">
        <v>39</v>
      </c>
      <c r="S17" s="61">
        <v>40</v>
      </c>
      <c r="T17" s="61">
        <v>41</v>
      </c>
      <c r="U17" s="61">
        <v>42</v>
      </c>
      <c r="V17" s="61">
        <v>43</v>
      </c>
      <c r="W17" s="61">
        <v>44</v>
      </c>
      <c r="X17" s="61">
        <v>45</v>
      </c>
      <c r="Y17" s="61">
        <v>46</v>
      </c>
      <c r="Z17" s="61">
        <v>47</v>
      </c>
      <c r="AA17" s="84">
        <v>48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47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47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47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47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47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7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47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47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47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47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47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47" ht="15.75" customHeight="1" x14ac:dyDescent="0.25">
      <c r="A30" s="78" t="s">
        <v>57</v>
      </c>
      <c r="B30" s="63"/>
      <c r="C30" s="63"/>
      <c r="D30" s="13">
        <f>ABS(PV(N8,1,0,E30))</f>
        <v>297880.75047205697</v>
      </c>
      <c r="E30" s="13">
        <f>ABS(PV(N8,1,0,F30))</f>
        <v>319477.10488128109</v>
      </c>
      <c r="F30" s="13">
        <f>ABS(PV(N8,1,0,G30))</f>
        <v>342639.19498517399</v>
      </c>
      <c r="G30" s="13">
        <f>ABS(PV(N8,1,0,H30))</f>
        <v>367480.53662159911</v>
      </c>
      <c r="H30" s="13">
        <f>ABS(PV(N8,1,0,I30))</f>
        <v>394122.87552666507</v>
      </c>
      <c r="I30" s="13">
        <f>ABS(PV(N8,1,0,J30))</f>
        <v>422696.78400234831</v>
      </c>
      <c r="J30" s="13">
        <f>ABS(PV(N8,1,0,K30))</f>
        <v>453342.30084251857</v>
      </c>
      <c r="K30" s="13">
        <f>ABS(PV(N8,1,0,L30))</f>
        <v>486209.61765360116</v>
      </c>
      <c r="L30" s="13">
        <f>ABS(PV(N8,1,0,M30))</f>
        <v>521459.81493348727</v>
      </c>
      <c r="M30" s="13">
        <f>ABS(PV(N8,1,0,N30))</f>
        <v>559265.65151616512</v>
      </c>
      <c r="N30" s="13">
        <f>ABS(PV(N8,1,0,O30))</f>
        <v>599812.41125108709</v>
      </c>
      <c r="O30" s="13">
        <f>ABS(PV(N8,1,0,P30))</f>
        <v>643298.81106679095</v>
      </c>
      <c r="P30" s="13">
        <f>ABS(PV(N8,1,0,Q30))</f>
        <v>689937.97486913332</v>
      </c>
      <c r="Q30" s="13">
        <f>ABS(PV(N8,1,0,R30))</f>
        <v>739958.47804714553</v>
      </c>
      <c r="R30" s="13">
        <f>ABS(PV(N8,1,0,S30))</f>
        <v>793605.46770556353</v>
      </c>
      <c r="S30" s="13">
        <f>ABS(PV(N8,1,0,T30))</f>
        <v>851141.86411421688</v>
      </c>
      <c r="T30" s="13">
        <f>ABS(PV(N8,1,0,U30))</f>
        <v>912849.64926249755</v>
      </c>
      <c r="U30" s="13">
        <f>ABS(PV(N8,1,0,V30))</f>
        <v>979031.24883402861</v>
      </c>
      <c r="V30" s="13">
        <f>ABS(PV(N8,1,0,W30))</f>
        <v>1050011.0143744957</v>
      </c>
      <c r="W30" s="13">
        <f>ABS(PV(N8,1,0,X30))</f>
        <v>1126136.8129166467</v>
      </c>
      <c r="X30" s="13">
        <f>ABS(PV(N8,1,0,Y30))</f>
        <v>1207781.7318531037</v>
      </c>
      <c r="Y30" s="13">
        <f>ABS(PV(N8,1,0,Z30))</f>
        <v>1295345.9074124538</v>
      </c>
      <c r="Z30" s="13">
        <f>ABS(PV(N8,1,0,AA30))</f>
        <v>1389258.4856998567</v>
      </c>
      <c r="AA30" s="73">
        <f t="array" ref="AA30">NPV(N9,D42:AY42)</f>
        <v>1489979.7259130962</v>
      </c>
      <c r="AB30" s="63"/>
      <c r="AC30" s="14"/>
    </row>
    <row r="31" spans="1:47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47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NPV(N9,0,0,0,0,0,0,0,0,0,0,0,0,0,0,0,0,0,0,0,0,0,0,0,0,0,0,0,R54:AY54)</f>
        <v>128097.21390538676</v>
      </c>
      <c r="O32" s="22">
        <f t="array" ref="O32">NPV(N9,0,0,0,0,0,0,0,0,0,0,0,0,0,0,0,0,0,0,0,0,0,0,0,0,0,0,R53:AY53)</f>
        <v>150240.70930086469</v>
      </c>
      <c r="P32" s="22">
        <f t="array" ref="P32">NPV(N9,0,0,0,0,0,0,0,0,0,0,0,0,0,0,0,0,0,0,0,0,0,0,0,0,0,R52:AY52)</f>
        <v>174664.83669576052</v>
      </c>
      <c r="Q32" s="22">
        <f t="array" ref="Q32">NPV(N9,0,0,0,0,0,0,0,0,0,0,0,0,0,0,0,0,0,0,0,0,0,0,0,0,R51:AY51)</f>
        <v>201549.11316134987</v>
      </c>
      <c r="R32" s="22">
        <f t="array" ref="R32">NPV(N9,0,0,0,0,0,0,0,0,0,0,0,0,0,0,0,0,0,0,0,0,0,0,0,R50:AY50)</f>
        <v>232937.88643271197</v>
      </c>
      <c r="S32" s="22">
        <f t="array" ref="S32">NPV(N9,0,0,0,0,0,0,0,0,0,0,0,0,0,0,0,0,0,0,0,0,0,0,R49:AY49)</f>
        <v>276765.57824651361</v>
      </c>
      <c r="T32" s="22">
        <f t="array" ref="T32">NPV(N9,0,0,0,0,0,0,0,0,0,0,0,0,0,0,0,0,0,0,0,0,0,R48:AY48)</f>
        <v>320108.9457951439</v>
      </c>
      <c r="U32" s="21">
        <f t="array" ref="U32">NPV(N9,0,0,0,0,0,0,0,0,0,0,0,0,0,0,0,0,0,0,0,0,R47:AY47)</f>
        <v>370728.33277398866</v>
      </c>
      <c r="V32" s="22">
        <f t="array" ref="V32">NPV(N9,0,0,0,0,0,0,0,0,0,0,0,0,0,0,0,0,0,0,0,R46:AY46)</f>
        <v>418321.25913274684</v>
      </c>
      <c r="W32" s="22">
        <f t="array" ref="W32">NPV(N9,0,0,0,0,0,0,0,0,0,0,0,0,0,0,0,0,0,0,R45:AY45)</f>
        <v>470333.11503054056</v>
      </c>
      <c r="X32" s="23"/>
      <c r="Y32" s="13"/>
      <c r="Z32" s="13"/>
      <c r="AA32" s="13"/>
    </row>
    <row r="33" spans="1:68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68" ht="15.75" customHeight="1" x14ac:dyDescent="0.2">
      <c r="A34" s="88" t="s">
        <v>60</v>
      </c>
      <c r="B34" s="63"/>
      <c r="C34" s="63"/>
      <c r="D34" s="13">
        <f t="shared" ref="D34:M34" si="5">D31-D30</f>
        <v>-290252.22047205694</v>
      </c>
      <c r="E34" s="13">
        <f t="shared" si="5"/>
        <v>-303288.07488128106</v>
      </c>
      <c r="F34" s="13">
        <f t="shared" si="5"/>
        <v>-317001.63498517399</v>
      </c>
      <c r="G34" s="13">
        <f t="shared" si="5"/>
        <v>-332394.44662159908</v>
      </c>
      <c r="H34" s="13">
        <f t="shared" si="5"/>
        <v>-349588.25552666507</v>
      </c>
      <c r="I34" s="13">
        <f t="shared" si="5"/>
        <v>-368713.63400234829</v>
      </c>
      <c r="J34" s="13">
        <f t="shared" si="5"/>
        <v>-389249.57084251859</v>
      </c>
      <c r="K34" s="13">
        <f t="shared" si="5"/>
        <v>-412007.30765360116</v>
      </c>
      <c r="L34" s="13">
        <f t="shared" si="5"/>
        <v>-437147.92493348726</v>
      </c>
      <c r="M34" s="13">
        <f t="shared" si="5"/>
        <v>-464844.18151616515</v>
      </c>
      <c r="X34" s="15"/>
      <c r="Y34" s="15"/>
      <c r="Z34" s="15"/>
      <c r="AA34" s="15"/>
    </row>
    <row r="35" spans="1:68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-471715.19734570035</v>
      </c>
      <c r="O35" s="13">
        <f t="shared" si="6"/>
        <v>-493058.10176592623</v>
      </c>
      <c r="P35" s="13">
        <f t="shared" si="6"/>
        <v>-515273.13817337283</v>
      </c>
      <c r="Q35" s="13">
        <f t="shared" si="6"/>
        <v>-538409.36488579563</v>
      </c>
      <c r="R35" s="13">
        <f t="shared" si="6"/>
        <v>-560667.58127285156</v>
      </c>
      <c r="S35" s="13">
        <f t="shared" si="6"/>
        <v>-574376.28586770326</v>
      </c>
      <c r="T35" s="13">
        <f t="shared" si="6"/>
        <v>-592740.70346735371</v>
      </c>
      <c r="U35" s="13">
        <f t="shared" si="6"/>
        <v>-608302.91606004001</v>
      </c>
      <c r="V35" s="13">
        <f t="shared" si="6"/>
        <v>-631689.75524174888</v>
      </c>
      <c r="W35" s="13">
        <f t="shared" si="6"/>
        <v>-655803.69788610609</v>
      </c>
      <c r="X35" s="15"/>
      <c r="Y35" s="15"/>
      <c r="Z35" s="15"/>
      <c r="AA35" s="77" t="s">
        <v>62</v>
      </c>
      <c r="AB35" s="63"/>
    </row>
    <row r="36" spans="1:68" ht="15.75" customHeight="1" x14ac:dyDescent="0.2">
      <c r="A36" s="63"/>
      <c r="B36" s="63"/>
      <c r="C36" s="63"/>
      <c r="AA36" s="63"/>
      <c r="AB36" s="63"/>
    </row>
    <row r="37" spans="1:68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68" ht="15.75" customHeight="1" x14ac:dyDescent="0.2"/>
    <row r="39" spans="1:68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</row>
    <row r="40" spans="1:68" ht="15.75" customHeight="1" x14ac:dyDescent="0.2">
      <c r="A40" s="87" t="s">
        <v>45</v>
      </c>
      <c r="B40" s="63"/>
      <c r="C40" s="63"/>
      <c r="D40" s="11">
        <v>48</v>
      </c>
      <c r="E40" s="11">
        <v>49</v>
      </c>
      <c r="F40" s="60">
        <v>50</v>
      </c>
      <c r="G40" s="60">
        <v>51</v>
      </c>
      <c r="H40" s="60">
        <v>52</v>
      </c>
      <c r="I40" s="60">
        <v>53</v>
      </c>
      <c r="J40" s="60">
        <v>54</v>
      </c>
      <c r="K40" s="60">
        <v>55</v>
      </c>
      <c r="L40" s="60">
        <v>56</v>
      </c>
      <c r="M40" s="60">
        <v>57</v>
      </c>
      <c r="N40" s="60">
        <v>58</v>
      </c>
      <c r="O40" s="60">
        <v>59</v>
      </c>
      <c r="P40" s="60">
        <v>60</v>
      </c>
      <c r="Q40" s="60">
        <v>61</v>
      </c>
      <c r="R40" s="60">
        <v>62</v>
      </c>
      <c r="S40" s="60">
        <v>63</v>
      </c>
      <c r="T40" s="60">
        <v>64</v>
      </c>
      <c r="U40" s="60">
        <v>65</v>
      </c>
      <c r="V40" s="60">
        <v>66</v>
      </c>
      <c r="W40" s="60">
        <v>67</v>
      </c>
      <c r="X40" s="60">
        <v>68</v>
      </c>
      <c r="Y40" s="60">
        <v>69</v>
      </c>
      <c r="Z40" s="60">
        <v>70</v>
      </c>
      <c r="AA40" s="60">
        <v>71</v>
      </c>
      <c r="AB40" s="60">
        <v>72</v>
      </c>
      <c r="AC40" s="60">
        <v>73</v>
      </c>
      <c r="AD40" s="60">
        <v>74</v>
      </c>
      <c r="AE40" s="60">
        <v>75</v>
      </c>
      <c r="AF40" s="60">
        <v>76</v>
      </c>
      <c r="AG40" s="60">
        <v>77</v>
      </c>
      <c r="AH40" s="60">
        <v>78</v>
      </c>
      <c r="AI40" s="60">
        <v>79</v>
      </c>
      <c r="AJ40" s="60">
        <v>80</v>
      </c>
      <c r="AK40" s="60">
        <v>81</v>
      </c>
      <c r="AL40" s="60">
        <v>82</v>
      </c>
      <c r="AM40" s="60">
        <v>83</v>
      </c>
      <c r="AN40" s="60">
        <v>84</v>
      </c>
      <c r="AO40" s="60">
        <v>85</v>
      </c>
      <c r="AP40" s="60">
        <v>86</v>
      </c>
      <c r="AQ40" s="60">
        <v>87</v>
      </c>
      <c r="AR40" s="60">
        <v>88</v>
      </c>
      <c r="AS40" s="60">
        <v>89</v>
      </c>
      <c r="AT40" s="60">
        <v>90</v>
      </c>
      <c r="AU40" s="60">
        <v>91</v>
      </c>
      <c r="AV40" s="60">
        <v>92</v>
      </c>
      <c r="AW40" s="60">
        <v>93</v>
      </c>
      <c r="AX40" s="60">
        <v>94</v>
      </c>
      <c r="AY40" s="60">
        <v>95</v>
      </c>
      <c r="AZ40" s="27"/>
      <c r="BA40" s="27"/>
      <c r="BB40" s="27"/>
      <c r="BC40" s="27"/>
    </row>
    <row r="41" spans="1:68" ht="15.75" customHeight="1" x14ac:dyDescent="0.2">
      <c r="A41" s="78" t="s">
        <v>65</v>
      </c>
      <c r="B41" s="63"/>
      <c r="C41" s="63"/>
      <c r="D41" s="14">
        <f>IF(N12&lt;=D40,0,AA19)</f>
        <v>76429.183999999994</v>
      </c>
      <c r="E41" s="14">
        <f>IF(N12&lt;=E40,0,AA19)</f>
        <v>76429.183999999994</v>
      </c>
      <c r="F41" s="14">
        <f>IF(N12&lt;=F40,0,AA19)</f>
        <v>76429.183999999994</v>
      </c>
      <c r="G41" s="14">
        <f>IF(N12&lt;=G40,0,AA19)</f>
        <v>76429.183999999994</v>
      </c>
      <c r="H41" s="14">
        <f>IF(N12&lt;=H40,0,AA19)</f>
        <v>76429.183999999994</v>
      </c>
      <c r="I41" s="22">
        <f>IF(N12&lt;=I40,0,AA19)</f>
        <v>76429.183999999994</v>
      </c>
      <c r="J41" s="22">
        <f>IF(N12&lt;=J40,0,AA19)</f>
        <v>76429.183999999994</v>
      </c>
      <c r="K41" s="22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8">
        <f>IF(N12&lt;=AC40,0,AA19)</f>
        <v>76429.183999999994</v>
      </c>
      <c r="AD41" s="28">
        <f>IF(N12&lt;=AD40,0,AA19)</f>
        <v>76429.183999999994</v>
      </c>
      <c r="AE41" s="28">
        <f>IF(N12&lt;=AE40,0,AA19)</f>
        <v>76429.183999999994</v>
      </c>
      <c r="AF41" s="28">
        <f>IF(N12&lt;=AF40,0,AA19)</f>
        <v>76429.183999999994</v>
      </c>
      <c r="AG41" s="28">
        <f>IF(N12&lt;=AG40,0,AA19)</f>
        <v>76429.183999999994</v>
      </c>
      <c r="AH41" s="28">
        <f>IF(N12&lt;=AH40,0,AA19)</f>
        <v>76429.183999999994</v>
      </c>
      <c r="AI41" s="28">
        <f>IF(N12&lt;=AI40,0,AA19)</f>
        <v>76429.183999999994</v>
      </c>
      <c r="AJ41" s="28">
        <f>IF(N12&lt;=AJ40,0,AA19)</f>
        <v>76429.183999999994</v>
      </c>
      <c r="AK41" s="28">
        <f>IF(N12&lt;=AK40,0,AA19)</f>
        <v>76429.183999999994</v>
      </c>
      <c r="AL41" s="28">
        <f>IF(N12&lt;=AL40,0,AA19)</f>
        <v>76429.183999999994</v>
      </c>
      <c r="AM41" s="28">
        <f>IF(N12&lt;=AM40,0,AA19)</f>
        <v>76429.183999999994</v>
      </c>
      <c r="AN41" s="28">
        <f>IF(N12&lt;=AN40,0,AA19)</f>
        <v>76429.183999999994</v>
      </c>
      <c r="AO41" s="28">
        <f>IF(N12&lt;=AO40,0,AA19)</f>
        <v>76429.183999999994</v>
      </c>
      <c r="AP41" s="28">
        <f>IF(N12&lt;=AP40,0,AA19)</f>
        <v>76429.183999999994</v>
      </c>
      <c r="AQ41" s="28">
        <f>IF(N12&lt;=AQ40,0,AA19)</f>
        <v>76429.183999999994</v>
      </c>
      <c r="AR41" s="28">
        <f>IF(N12&lt;=AR40,0,AA19)</f>
        <v>0</v>
      </c>
      <c r="AS41" s="28">
        <f>IF(N12&lt;=AS40,0,AA19)</f>
        <v>0</v>
      </c>
      <c r="AT41" s="22">
        <f>IF(N12&lt;=AT40,0,AA19)</f>
        <v>0</v>
      </c>
      <c r="AU41" s="22">
        <f>IF(N12&lt;=AU40,0,AA19)</f>
        <v>0</v>
      </c>
      <c r="AV41" s="22">
        <f>IF(N12&lt;=AV40,0,AA19)</f>
        <v>0</v>
      </c>
      <c r="AW41" s="22">
        <f>IF(N12&lt;=AW40,0,AA19)</f>
        <v>0</v>
      </c>
      <c r="AX41" s="22">
        <f>IF(N12&lt;=AX40,0,AA19)</f>
        <v>0</v>
      </c>
      <c r="AY41" s="22">
        <f>IF(N12&lt;=AY40,0,AA19)</f>
        <v>0</v>
      </c>
      <c r="AZ41" s="29"/>
      <c r="BA41" s="29"/>
      <c r="BB41" s="29"/>
      <c r="BC41" s="29"/>
    </row>
    <row r="42" spans="1:68" ht="15.75" customHeight="1" x14ac:dyDescent="0.2">
      <c r="A42" s="78" t="s">
        <v>66</v>
      </c>
      <c r="B42" s="63"/>
      <c r="C42" s="63"/>
      <c r="D42" s="14">
        <f>IF(N12&lt;=D40,0,AA19)</f>
        <v>76429.183999999994</v>
      </c>
      <c r="E42" s="14">
        <f>IF(N12&lt;=E40,0,D42*(1-N11+N10))</f>
        <v>75053.458687999999</v>
      </c>
      <c r="F42" s="14">
        <f>IF(N12&lt;=F40,0,E42*(1-N11+N10))</f>
        <v>73702.496431616004</v>
      </c>
      <c r="G42" s="14">
        <f>IF(N12&lt;=G40,0,F42*(1-N11+N10))</f>
        <v>72375.851495846917</v>
      </c>
      <c r="H42" s="14">
        <f>IF(N12&lt;=H40,0,G42*(1-N11+N10))</f>
        <v>71073.086168921669</v>
      </c>
      <c r="I42" s="14">
        <f>IF(N12&lt;=I40,0,H42*(1-N11+N10))</f>
        <v>69793.770617881077</v>
      </c>
      <c r="J42" s="14">
        <f>IF(N12&lt;=J40,0,I42*(1-N11+N10))</f>
        <v>68537.482746759211</v>
      </c>
      <c r="K42" s="14">
        <f>IF(N12&lt;=K40,0,J42*(1-N11+N10))</f>
        <v>67303.808057317539</v>
      </c>
      <c r="L42" s="14">
        <f>IF(N12&lt;=L40,0,K42*(1-N11+N10))</f>
        <v>66092.33951228582</v>
      </c>
      <c r="M42" s="14">
        <f>IF(N12&lt;=M40,0,L42*(1-N11+N10))</f>
        <v>64902.677401064677</v>
      </c>
      <c r="N42" s="14">
        <f>IF(N12&lt;=N40,0,M42*(1-N11+N10))</f>
        <v>63734.429207845511</v>
      </c>
      <c r="O42" s="14">
        <f>IF(N12&lt;=O40,0,N42*(1-N11+N10))</f>
        <v>62587.209482104292</v>
      </c>
      <c r="P42" s="14">
        <f>IF(N12&lt;=P40,0,O42*(1-N11+N10))</f>
        <v>61460.639711426411</v>
      </c>
      <c r="Q42" s="14">
        <f>IF(N12&lt;=Q40,0,P42*(1-N11+N10))</f>
        <v>60354.348196620733</v>
      </c>
      <c r="R42" s="14">
        <f>IF(N12&lt;=R40,0,Q42*(1-N11+N10))</f>
        <v>59267.969929081555</v>
      </c>
      <c r="S42" s="14">
        <f>IF(N12&lt;=S40,0,R42*(1-N11+N10))</f>
        <v>58201.146470358086</v>
      </c>
      <c r="T42" s="14">
        <f>IF(N12&lt;=T40,0,S42*(1-N11+N10))</f>
        <v>57153.525833891639</v>
      </c>
      <c r="U42" s="14">
        <f>IF(N12&lt;=U40,0,T42*(1-N11+N10))</f>
        <v>56124.762368881587</v>
      </c>
      <c r="V42" s="14">
        <f>IF(N12&lt;=V40,0,U42*(1-N11+N10))</f>
        <v>55114.516646241718</v>
      </c>
      <c r="W42" s="14">
        <f>IF(N12&lt;=W40,0,V42*(1-N11+N10))</f>
        <v>54122.455346609364</v>
      </c>
      <c r="X42" s="14">
        <f>IF(N12&lt;=X40,0,W42*(1-N11+N10))</f>
        <v>53148.251150370394</v>
      </c>
      <c r="Y42" s="14">
        <f>IF(N12&lt;=Y40,0,X42*(1-N11+N10))</f>
        <v>52191.582629663724</v>
      </c>
      <c r="Z42" s="14">
        <f>IF(N12&lt;=Z40,0,Y42*(1-N11+N10))</f>
        <v>51252.134142329778</v>
      </c>
      <c r="AA42" s="14">
        <f>IF(N12&lt;=AA40,0,Z42*(1-N11+N10))</f>
        <v>50329.595727767839</v>
      </c>
      <c r="AB42" s="14">
        <f>IF(N12&lt;=AB40,0,AA42*(1-N11+N10))</f>
        <v>49423.663004668015</v>
      </c>
      <c r="AC42" s="28">
        <f>IF(N12&lt;=AC40,0,AB42*(1-N11+N10))</f>
        <v>48534.037070583989</v>
      </c>
      <c r="AD42" s="28">
        <f>IF(N12&lt;=AD40,0,AC42*(1-N11+N10))</f>
        <v>47660.424403313475</v>
      </c>
      <c r="AE42" s="30">
        <f>IF(N12&lt;=AE40,0,AD42*(1-N11+N10))</f>
        <v>46802.536764053832</v>
      </c>
      <c r="AF42" s="28">
        <f>IF(N12&lt;=AF40,0,AE42*(1-N11+N10))</f>
        <v>45960.091102300859</v>
      </c>
      <c r="AG42" s="28">
        <f>IF(N12&lt;=AG40,0,AF42*(1-N11+N10))</f>
        <v>45132.809462459445</v>
      </c>
      <c r="AH42" s="28">
        <f>IF(N12&lt;=AH40,0,AG42*(1-N11+N10))</f>
        <v>44320.418892135174</v>
      </c>
      <c r="AI42" s="28">
        <f>IF(N12&lt;=AI40,0,AH42*(1-N11+N10))</f>
        <v>43522.65135207674</v>
      </c>
      <c r="AJ42" s="28">
        <f>IF(N12&lt;=AJ40,0,AI42*(1-N11+N10))</f>
        <v>42739.243627739357</v>
      </c>
      <c r="AK42" s="28">
        <f>IF(N12&lt;=AK40,0,AJ42*(1-N11+N10))</f>
        <v>41969.93724244005</v>
      </c>
      <c r="AL42" s="28">
        <f>IF(N12&lt;=AL40,0,AK42*(1-N11+N10))</f>
        <v>41214.478372076126</v>
      </c>
      <c r="AM42" s="28">
        <f>IF(N12&lt;=AM40,0,AL42*(1-N11+N10))</f>
        <v>40472.617761378759</v>
      </c>
      <c r="AN42" s="28">
        <f>IF(N12&lt;=AN40,0,AM42*(1-N11+N10))</f>
        <v>39744.110641673942</v>
      </c>
      <c r="AO42" s="28">
        <f>IF(N12&lt;=AO40,0,AN42*(1-N11+N10))</f>
        <v>39028.71665012381</v>
      </c>
      <c r="AP42" s="28">
        <f>IF(N12&lt;=AP40,0,AO42*(1-N11+N10))</f>
        <v>38326.199750421583</v>
      </c>
      <c r="AQ42" s="28">
        <f>IF(N12&lt;=AQ40,0,AP42*(1-N11+N10))</f>
        <v>37636.328154913994</v>
      </c>
      <c r="AR42" s="28">
        <f>IF(N12&lt;=AR40,0,AQ42*(1-N11+N10))</f>
        <v>0</v>
      </c>
      <c r="AS42" s="28">
        <f>IF(N12&lt;=AS40,0,AR42*(1-N11+N10))</f>
        <v>0</v>
      </c>
      <c r="AT42" s="28">
        <f>IF(N12&lt;=AT40,0,AS42*(1-N11+N10))</f>
        <v>0</v>
      </c>
      <c r="AU42" s="28">
        <f>IF(N12&lt;=AU40,0,AT42*(1-N11+N10))</f>
        <v>0</v>
      </c>
      <c r="AV42" s="28">
        <f>IF(N12&lt;=AV40,0,AU42*(1-N11+N10))</f>
        <v>0</v>
      </c>
      <c r="AW42" s="28">
        <f>IF(N12&lt;=AW40,0,AV42*(1-N11+N10))</f>
        <v>0</v>
      </c>
      <c r="AX42" s="28">
        <f>IF(N12&lt;=AX40,0,AW42*(1-N11+N10))</f>
        <v>0</v>
      </c>
      <c r="AY42" s="28">
        <f>IF(N12&lt;=AY40,0,AX42*(1-N11+N10))</f>
        <v>0</v>
      </c>
      <c r="AZ42" s="31"/>
      <c r="BA42" s="31"/>
      <c r="BB42" s="31"/>
      <c r="BC42" s="31"/>
    </row>
    <row r="43" spans="1:68" ht="15.75" customHeight="1" x14ac:dyDescent="0.2">
      <c r="A43" s="65"/>
      <c r="B43" s="63"/>
      <c r="C43" s="6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</row>
    <row r="44" spans="1:68" ht="15.75" customHeight="1" x14ac:dyDescent="0.25">
      <c r="A44" s="33" t="s">
        <v>67</v>
      </c>
      <c r="B44" s="33" t="s">
        <v>17</v>
      </c>
      <c r="C44" s="33" t="s">
        <v>68</v>
      </c>
      <c r="R44" s="75" t="s">
        <v>69</v>
      </c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35"/>
      <c r="AF44" s="36"/>
      <c r="AZ44" s="38"/>
      <c r="BA44" s="38"/>
      <c r="BB44" s="38"/>
    </row>
    <row r="45" spans="1:68" ht="15.75" customHeight="1" x14ac:dyDescent="0.2">
      <c r="A45" s="39">
        <v>19</v>
      </c>
      <c r="B45" s="40">
        <f>(A45*N7)</f>
        <v>0.60799999999999998</v>
      </c>
      <c r="C45" s="41">
        <f>(((LARGE(M19:V19,1))+(LARGE(M19:V19,2))+(LARGE(M19:V19,3)))/3)*(B45)</f>
        <v>63137.152000000002</v>
      </c>
      <c r="R45" s="21">
        <f t="array" ref="R45">IF(N12&lt;=R40,0,NPV((N11-N10),0,0,0,0,0,0,0,0,0,0,0,0,0,0,0,0,0,0,C45))</f>
        <v>44985.982064388561</v>
      </c>
      <c r="S45" s="13">
        <f>IF(N12&lt;=S40,0,R45*(1-N11+N10))</f>
        <v>44176.234387229568</v>
      </c>
      <c r="T45" s="13">
        <f>IF(N12&lt;=T40,0,S45*(1-N11+N10))</f>
        <v>43381.062168259436</v>
      </c>
      <c r="U45" s="13">
        <f>IF(N12&lt;=U40,0,T45*(1-N11+N10))</f>
        <v>42600.203049230768</v>
      </c>
      <c r="V45" s="13">
        <f>IF(N12&lt;=V40,0,U45*(1-N11+N10))</f>
        <v>41833.399394344611</v>
      </c>
      <c r="W45" s="13">
        <f>IF(N12&lt;=W40,0,V45*(1-N11+N10))</f>
        <v>41080.398205246405</v>
      </c>
      <c r="X45" s="13">
        <f>IF(N12&lt;=X40,0,W45*(1-N11+N10))</f>
        <v>40340.951037551968</v>
      </c>
      <c r="Y45" s="13">
        <f>IF(N12&lt;=Y40,0,X45*(1-N11+N10))</f>
        <v>39614.813918876032</v>
      </c>
      <c r="Z45" s="13">
        <f>IF(N12&lt;=Z40,0,Y45*(1-N11+N10))</f>
        <v>38901.747268336265</v>
      </c>
      <c r="AA45" s="13">
        <f>IF(N12&lt;=AA40,0,Z45*(1-N11+N10))</f>
        <v>38201.51581750621</v>
      </c>
      <c r="AB45" s="13">
        <f>IF(N12&lt;=AB40,0,AA45*(1-N11+N10))</f>
        <v>37513.888532791098</v>
      </c>
      <c r="AC45" s="13">
        <f>IF(N12&lt;=AC40,0,AB45*(1-N11+N10))</f>
        <v>36838.63853920086</v>
      </c>
      <c r="AD45" s="13">
        <f>IF(N12&lt;=AD40,0,AC45*(1-N11+N10))</f>
        <v>36175.543045495244</v>
      </c>
      <c r="AE45" s="13">
        <f>IF(N12&lt;=AE40,0,AD45*(1-N11+N10))</f>
        <v>35524.383270676328</v>
      </c>
      <c r="AF45" s="13">
        <f>IF(N12&lt;=AF40,0,AE45*(1-N11+N10))</f>
        <v>34884.944371804151</v>
      </c>
      <c r="AG45" s="13">
        <f>IF(N12&lt;=AG40,0,AF45*(1-N11+N10))</f>
        <v>34257.015373111673</v>
      </c>
      <c r="AH45" s="13">
        <f>IF(N12&lt;=AH40,0,AG45*(1-N11+N10))</f>
        <v>33640.389096395666</v>
      </c>
      <c r="AI45" s="13">
        <f>IF(N12&lt;=AI40,0,AH45*(1-N11+N10))</f>
        <v>33034.862092660544</v>
      </c>
      <c r="AJ45" s="13">
        <f>IF(N12&lt;=AJ40,0,AI45*(1-N11+N10))</f>
        <v>32440.234574992654</v>
      </c>
      <c r="AK45" s="13">
        <f>IF(N12&lt;=AK40,0,AJ45*(1-N11+N10))</f>
        <v>31856.310352642784</v>
      </c>
      <c r="AL45" s="13">
        <f>IF(N12&lt;=AL40,0,AK45*(1-N11+N10))</f>
        <v>31282.896766295213</v>
      </c>
      <c r="AM45" s="13">
        <f>IF(N12&lt;=AM40,0,AL45*(1-N11+N10))</f>
        <v>30719.8046245019</v>
      </c>
      <c r="AN45" s="13">
        <f>IF(N12&lt;=AN40,0,AM45*(1-N11+N10))</f>
        <v>30166.848141260863</v>
      </c>
      <c r="AO45" s="13">
        <f>IF(N12&lt;=AO40,0,AN45*(1-N11+N10))</f>
        <v>29623.844874718168</v>
      </c>
      <c r="AP45" s="13">
        <f>IF(N12&lt;=AP40,0,AO45*(1-N11+N10))</f>
        <v>29090.615666973241</v>
      </c>
      <c r="AQ45" s="13">
        <f>IF(N12&lt;=AQ40,0,AP45*(1-N11+N10))</f>
        <v>28566.984584967722</v>
      </c>
      <c r="AR45" s="13">
        <f>IF(N12&lt;=AR40,0,AQ45*(1-N11+N10))</f>
        <v>0</v>
      </c>
      <c r="AS45" s="13">
        <f>IF(N12&lt;=AS40,0,AR45*(1-N11+N10))</f>
        <v>0</v>
      </c>
      <c r="AT45" s="13">
        <f>IF(N12&lt;=AT40,0,AS45*(1-N11+N10))</f>
        <v>0</v>
      </c>
      <c r="AU45" s="13">
        <f>IF(N12&lt;=AU40,0,AT45*(1-N11+N10))</f>
        <v>0</v>
      </c>
      <c r="AV45" s="13">
        <f>IF(N12&lt;=AV40,0,AU45*(1-N11+N10))</f>
        <v>0</v>
      </c>
      <c r="AW45" s="13">
        <f>IF(N12&lt;=AW40,0,AV45*(1-N11+N10))</f>
        <v>0</v>
      </c>
      <c r="AX45" s="13">
        <f>IF(N12&lt;=AX40,0,AW45*(1-N11+N10))</f>
        <v>0</v>
      </c>
      <c r="AY45" s="13">
        <f>IF(N12&lt;=AY40,0,AX45*(1-N11+N10))</f>
        <v>0</v>
      </c>
      <c r="AZ45" s="13"/>
      <c r="BA45" s="13"/>
      <c r="BB45" s="13"/>
      <c r="BC45" s="13"/>
    </row>
    <row r="46" spans="1:68" ht="15.75" customHeight="1" x14ac:dyDescent="0.2">
      <c r="A46" s="39">
        <v>18</v>
      </c>
      <c r="B46" s="40">
        <f>(A46*N7)</f>
        <v>0.57600000000000007</v>
      </c>
      <c r="C46" s="41">
        <f>(((LARGE(L19:U19,1))+(LARGE(L19:U19,2))+(LARGE(L19:U19,3)))/3)*(B46)</f>
        <v>58509.312000000013</v>
      </c>
      <c r="R46" s="21">
        <f t="array" ref="R46">IF(N12&lt;=R40,0,NPV((N11-N10),0,0,0,0,0,0,0,0,0,0,0,0,0,0,0,0,0,0,0,C46))</f>
        <v>40951.463914611275</v>
      </c>
      <c r="S46" s="13">
        <f>IF(N12&lt;=S40,0,R46*(1-N11+N10))</f>
        <v>40214.337564148271</v>
      </c>
      <c r="T46" s="13">
        <f>IF(N12&lt;=T40,0,S46*(1-N11+N10))</f>
        <v>39490.479487993602</v>
      </c>
      <c r="U46" s="13">
        <f>IF(N12&lt;=U40,0,T46*(1-N11+N10))</f>
        <v>38779.650857209715</v>
      </c>
      <c r="V46" s="13">
        <f>IF(N12&lt;=V40,0,U46*(1-N11+N10))</f>
        <v>38081.617141779941</v>
      </c>
      <c r="W46" s="13">
        <f>IF(N12&lt;=W40,0,V46*(1-N11+N10))</f>
        <v>37396.148033227902</v>
      </c>
      <c r="X46" s="13">
        <f>IF(N12&lt;=X40,0,W46*(1-N11+N10))</f>
        <v>36723.0173686298</v>
      </c>
      <c r="Y46" s="13">
        <f>IF(N12&lt;=Y40,0,X46*(1-N11+N10))</f>
        <v>36062.003055994464</v>
      </c>
      <c r="Z46" s="13">
        <f>IF(N12&lt;=Z40,0,Y46*(1-N11+N10))</f>
        <v>35412.887000986564</v>
      </c>
      <c r="AA46" s="13">
        <f>IF(N12&lt;=AA40,0,Z46*(1-N11+N10))</f>
        <v>34775.455034968807</v>
      </c>
      <c r="AB46" s="13">
        <f>IF(N12&lt;=AB40,0,AA46*(1-N11+N10))</f>
        <v>34149.496844339366</v>
      </c>
      <c r="AC46" s="13">
        <f>IF(N12&lt;=AC40,0,AB46*(1-N11+N10))</f>
        <v>33534.805901141255</v>
      </c>
      <c r="AD46" s="13">
        <f>IF(N12&lt;=AD40,0,AC46*(1-N11+N10))</f>
        <v>32931.179394920713</v>
      </c>
      <c r="AE46" s="13">
        <f>IF(N12&lt;=AE40,0,AD46*(1-N11+N10))</f>
        <v>32338.418165812142</v>
      </c>
      <c r="AF46" s="13">
        <f>IF(N12&lt;=AF40,0,AE46*(1-N11+N10))</f>
        <v>31756.326638827522</v>
      </c>
      <c r="AG46" s="13">
        <f>IF(N12&lt;=AG40,0,AF46*(1-N11+N10))</f>
        <v>31184.712759328628</v>
      </c>
      <c r="AH46" s="13">
        <f>IF(N12&lt;=AH40,0,AG46*(1-N11+N10))</f>
        <v>30623.387929660712</v>
      </c>
      <c r="AI46" s="13">
        <f>IF(N12&lt;=AI40,0,AH46*(1-N11+N10))</f>
        <v>30072.16694692682</v>
      </c>
      <c r="AJ46" s="13">
        <f>IF(N12&lt;=AJ40,0,AI46*(1-N11+N10))</f>
        <v>29530.867941882138</v>
      </c>
      <c r="AK46" s="13">
        <f>IF(N12&lt;=AK40,0,AJ46*(1-N11+N10))</f>
        <v>28999.31231892826</v>
      </c>
      <c r="AL46" s="13">
        <f>IF(N12&lt;=AL40,0,AK46*(1-N11+N10))</f>
        <v>28477.324697187549</v>
      </c>
      <c r="AM46" s="13">
        <f>IF(N12&lt;=AM40,0,AL46*(1-N11+N10))</f>
        <v>27964.732852638172</v>
      </c>
      <c r="AN46" s="13">
        <f>IF(N12&lt;=AN40,0,AM46*(1-N11+N10))</f>
        <v>27461.367661290686</v>
      </c>
      <c r="AO46" s="13">
        <f>IF(N12&lt;=AO40,0,AN46*(1-N11+N10))</f>
        <v>26967.063043387454</v>
      </c>
      <c r="AP46" s="13">
        <f>IF(N12&lt;=AP40,0,AO46*(1-N11+N10))</f>
        <v>26481.655908606481</v>
      </c>
      <c r="AQ46" s="13">
        <f>IF(N12&lt;=AQ40,0,AP46*(1-N11+N10))</f>
        <v>26004.986102251565</v>
      </c>
      <c r="AR46" s="13">
        <f>IF(N12&lt;=AR40,0,AQ46*(1-N11+N10))</f>
        <v>0</v>
      </c>
      <c r="AS46" s="13">
        <f>IF(N12&lt;=AS40,0,AR46*(1-N11+N10))</f>
        <v>0</v>
      </c>
      <c r="AT46" s="13">
        <f>IF(N12&lt;=AT40,0,AS46*(1-N11+N10))</f>
        <v>0</v>
      </c>
      <c r="AU46" s="13">
        <f>IF(N12&lt;=AU40,0,AT46*(1-N11+N10))</f>
        <v>0</v>
      </c>
      <c r="AV46" s="13">
        <f>IF(N12&lt;=AV40,0,AU46*(1-N11+N10))</f>
        <v>0</v>
      </c>
      <c r="AW46" s="13">
        <f>IF(N12&lt;=AW40,0,AV46*(1-N11+N10))</f>
        <v>0</v>
      </c>
      <c r="AX46" s="13">
        <f>IF(N12&lt;=AX40,0,AW46*(1-N11+N10))</f>
        <v>0</v>
      </c>
      <c r="AY46" s="13">
        <f>IF(N12&lt;=AY40,0,AX46*(1-N11+N10))</f>
        <v>0</v>
      </c>
      <c r="AZ46" s="13"/>
      <c r="BA46" s="13"/>
      <c r="BB46" s="13"/>
      <c r="BC46" s="13"/>
    </row>
    <row r="47" spans="1:68" ht="15.75" customHeight="1" x14ac:dyDescent="0.2">
      <c r="A47" s="39">
        <v>17</v>
      </c>
      <c r="B47" s="40">
        <f>(A47*N7)</f>
        <v>0.54400000000000004</v>
      </c>
      <c r="C47" s="41">
        <f>(((LARGE(K19:T19,1))+(LARGE(K19:T19,2))+(LARGE(K19:T19,3)))/3)*(B47)</f>
        <v>54026.453333333331</v>
      </c>
      <c r="R47" s="21">
        <f t="array" ref="R47">IF(N12&lt;=R40,0,NPV((N11-N10),0,0,0,0,0,0,0,0,0,0,0,0,0,0,0,0,0,0,0,0,C47))</f>
        <v>37145.235866239964</v>
      </c>
      <c r="S47" s="13">
        <f>IF(N12&lt;=S40,0,R47*(1-N11+N10))</f>
        <v>36476.621620647646</v>
      </c>
      <c r="T47" s="13">
        <f>IF(N12&lt;=T40,0,S47*(1-N11+N10))</f>
        <v>35820.042431475988</v>
      </c>
      <c r="U47" s="13">
        <f>IF(N12&lt;=U40,0,T47*(1-N11+N10))</f>
        <v>35175.281667709416</v>
      </c>
      <c r="V47" s="13">
        <f>IF(N12&lt;=V40,0,U47*(1-N11+N10))</f>
        <v>34542.126597690643</v>
      </c>
      <c r="W47" s="13">
        <f>IF(N12&lt;=W40,0,V47*(1-N11+N10))</f>
        <v>33920.368318932211</v>
      </c>
      <c r="X47" s="13">
        <f>IF(N12&lt;=X40,0,W47*(1-N11+N10))</f>
        <v>33309.80168919143</v>
      </c>
      <c r="Y47" s="13">
        <f>IF(N12&lt;=Y40,0,X47*(1-N11+N10))</f>
        <v>32710.225258785984</v>
      </c>
      <c r="Z47" s="13">
        <f>IF(N12&lt;=Z40,0,Y47*(1-N11+N10))</f>
        <v>32121.441204127837</v>
      </c>
      <c r="AA47" s="13">
        <f>IF(N12&lt;=AA40,0,Z47*(1-N11+N10))</f>
        <v>31543.255262453535</v>
      </c>
      <c r="AB47" s="13">
        <f>IF(N12&lt;=AB40,0,AA47*(1-N11+N10))</f>
        <v>30975.47666772937</v>
      </c>
      <c r="AC47" s="13">
        <f>IF(N12&lt;=AC40,0,AB47*(1-N11+N10))</f>
        <v>30417.918087710241</v>
      </c>
      <c r="AD47" s="13">
        <f>IF(N12&lt;=AD40,0,AC47*(1-N11+N10))</f>
        <v>29870.395562131456</v>
      </c>
      <c r="AE47" s="13">
        <f>IF(N12&lt;=AE40,0,AD47*(1-N11+N10))</f>
        <v>29332.728442013089</v>
      </c>
      <c r="AF47" s="13">
        <f>IF(N12&lt;=AF40,0,AE47*(1-N11+N10))</f>
        <v>28804.739330056855</v>
      </c>
      <c r="AG47" s="13">
        <f>IF(N12&lt;=AG40,0,AF47*(1-N11+N10))</f>
        <v>28286.254022115831</v>
      </c>
      <c r="AH47" s="13">
        <f>IF(N12&lt;=AH40,0,AG47*(1-N11+N10))</f>
        <v>27777.101449717746</v>
      </c>
      <c r="AI47" s="13">
        <f>IF(N12&lt;=AI40,0,AH47*(1-N11+N10))</f>
        <v>27277.113623622827</v>
      </c>
      <c r="AJ47" s="13">
        <f>IF(N12&lt;=AJ40,0,AI47*(1-N11+N10))</f>
        <v>26786.125578397616</v>
      </c>
      <c r="AK47" s="13">
        <f>IF(N12&lt;=AK40,0,AJ47*(1-N11+N10))</f>
        <v>26303.975317986457</v>
      </c>
      <c r="AL47" s="13">
        <f>IF(N12&lt;=AL40,0,AK47*(1-N11+N10))</f>
        <v>25830.503762262699</v>
      </c>
      <c r="AM47" s="13">
        <f>IF(N12&lt;=AM40,0,AL47*(1-N11+N10))</f>
        <v>25365.55469454197</v>
      </c>
      <c r="AN47" s="13">
        <f>IF(N12&lt;=AN40,0,AM47*(1-N11+N10))</f>
        <v>24908.974710040213</v>
      </c>
      <c r="AO47" s="13">
        <f>IF(N12&lt;=AO40,0,AN47*(1-N11+N10))</f>
        <v>24460.613165259489</v>
      </c>
      <c r="AP47" s="13">
        <f>IF(N12&lt;=AP40,0,AO47*(1-N11+N10))</f>
        <v>24020.322128284817</v>
      </c>
      <c r="AQ47" s="13">
        <f>IF(N12&lt;=AQ40,0,AP47*(1-N11+N10))</f>
        <v>23587.956329975688</v>
      </c>
      <c r="AR47" s="13">
        <f>IF(N12&lt;=AR40,0,AQ47*(1-N11+N10))</f>
        <v>0</v>
      </c>
      <c r="AS47" s="13">
        <f>IF(N12&lt;=AS40,0,AR47*(1-N11+N10))</f>
        <v>0</v>
      </c>
      <c r="AT47" s="13">
        <f>IF(N12&lt;=AT40,0,AS47*(1-N11+N10))</f>
        <v>0</v>
      </c>
      <c r="AU47" s="13">
        <f>IF(N12&lt;=AU40,0,AT47*(1-N11+N10))</f>
        <v>0</v>
      </c>
      <c r="AV47" s="13">
        <f>IF(N12&lt;=AV40,0,AU47*(1-N11+N10))</f>
        <v>0</v>
      </c>
      <c r="AW47" s="13">
        <f>IF(N12&lt;=AW40,0,AV47*(1-N11+N10))</f>
        <v>0</v>
      </c>
      <c r="AX47" s="13">
        <f>IF(N12&lt;=AX40,0,AW47*(1-N11+N10))</f>
        <v>0</v>
      </c>
      <c r="AY47" s="13">
        <f>IF(N12&lt;=AY40,0,AX47*(1-N11+N10))</f>
        <v>0</v>
      </c>
      <c r="AZ47" s="13"/>
      <c r="BA47" s="13"/>
      <c r="BB47" s="13"/>
      <c r="BC47" s="13"/>
    </row>
    <row r="48" spans="1:68" ht="15.75" customHeight="1" x14ac:dyDescent="0.2">
      <c r="A48" s="39">
        <v>16</v>
      </c>
      <c r="B48" s="40">
        <f>(A48*N7)</f>
        <v>0.51200000000000001</v>
      </c>
      <c r="C48" s="41">
        <f>(((LARGE(J19:S19,1))+(LARGE(J19:S19,2))+(LARGE(J19:S19,3)))/3)*(B48)</f>
        <v>48605.354666666666</v>
      </c>
      <c r="R48" s="21">
        <f t="array" ref="R48">IF(N12&lt;=R40,0,NPV((N11-N10),0,0,0,0,0,0,0,0,0,0,0,0,0,0,0,0,0,0,0,0,0,C48))</f>
        <v>32827.136456800086</v>
      </c>
      <c r="S48" s="13">
        <f>IF(N12&lt;=S40,0,R48*(1-N11+N10))</f>
        <v>32236.248000577685</v>
      </c>
      <c r="T48" s="13">
        <f>IF(N12&lt;=T40,0,S48*(1-N11+N10))</f>
        <v>31655.995536567287</v>
      </c>
      <c r="U48" s="13">
        <f>IF(N12&lt;=U40,0,T48*(1-N11+N10))</f>
        <v>31086.187616909076</v>
      </c>
      <c r="V48" s="13">
        <f>IF(N12&lt;=V40,0,U48*(1-N11+N10))</f>
        <v>30526.636239804713</v>
      </c>
      <c r="W48" s="13">
        <f>IF(N12&lt;=W40,0,V48*(1-N11+N10))</f>
        <v>29977.156787488228</v>
      </c>
      <c r="X48" s="13">
        <f>IF(N12&lt;=X40,0,W48*(1-N11+N10))</f>
        <v>29437.567965313439</v>
      </c>
      <c r="Y48" s="13">
        <f>IF(N12&lt;=Y40,0,X48*(1-N11+N10))</f>
        <v>28907.691741937797</v>
      </c>
      <c r="Z48" s="13">
        <f>IF(N12&lt;=Z40,0,Y48*(1-N11+N10))</f>
        <v>28387.353290582916</v>
      </c>
      <c r="AA48" s="13">
        <f>IF(N12&lt;=AA40,0,Z48*(1-N11+N10))</f>
        <v>27876.380931352422</v>
      </c>
      <c r="AB48" s="13">
        <f>IF(N12&lt;=AB40,0,AA48*(1-N11+N10))</f>
        <v>27374.606074588079</v>
      </c>
      <c r="AC48" s="13">
        <f>IF(N12&lt;=AC40,0,AB48*(1-N11+N10))</f>
        <v>26881.863165245493</v>
      </c>
      <c r="AD48" s="13">
        <f>IF(N12&lt;=AD40,0,AC48*(1-N11+N10))</f>
        <v>26397.989628271072</v>
      </c>
      <c r="AE48" s="13">
        <f>IF(N12&lt;=AE40,0,AD48*(1-N11+N10))</f>
        <v>25922.825814962194</v>
      </c>
      <c r="AF48" s="13">
        <f>IF(N12&lt;=AF40,0,AE48*(1-N11+N10))</f>
        <v>25456.214950292873</v>
      </c>
      <c r="AG48" s="13">
        <f>IF(N12&lt;=AG40,0,AF48*(1-N11+N10))</f>
        <v>24998.003081187602</v>
      </c>
      <c r="AH48" s="13">
        <f>IF(N12&lt;=AH40,0,AG48*(1-N11+N10))</f>
        <v>24548.039025726226</v>
      </c>
      <c r="AI48" s="13">
        <f>IF(N12&lt;=AI40,0,AH48*(1-N11+N10))</f>
        <v>24106.174323263152</v>
      </c>
      <c r="AJ48" s="13">
        <f>IF(N12&lt;=AJ40,0,AI48*(1-N11+N10))</f>
        <v>23672.263185444415</v>
      </c>
      <c r="AK48" s="13">
        <f>IF(N12&lt;=AK40,0,AJ48*(1-N11+N10))</f>
        <v>23246.162448106414</v>
      </c>
      <c r="AL48" s="13">
        <f>IF(N12&lt;=AL40,0,AK48*(1-N11+N10))</f>
        <v>22827.731524040497</v>
      </c>
      <c r="AM48" s="13">
        <f>IF(N12&lt;=AM40,0,AL48*(1-N11+N10))</f>
        <v>22416.832356607767</v>
      </c>
      <c r="AN48" s="13">
        <f>IF(N12&lt;=AN40,0,AM48*(1-N11+N10))</f>
        <v>22013.329374188826</v>
      </c>
      <c r="AO48" s="13">
        <f>IF(N12&lt;=AO40,0,AN48*(1-N11+N10))</f>
        <v>21617.089445453428</v>
      </c>
      <c r="AP48" s="13">
        <f>IF(N12&lt;=AP40,0,AO48*(1-N11+N10))</f>
        <v>21227.981835435265</v>
      </c>
      <c r="AQ48" s="13">
        <f>IF(N12&lt;=AQ40,0,AP48*(1-N11+N10))</f>
        <v>20845.878162397428</v>
      </c>
      <c r="AR48" s="13">
        <f>IF(N12&lt;=AR40,0,AQ48*(1-N11+N10))</f>
        <v>0</v>
      </c>
      <c r="AS48" s="13">
        <f>IF(N12&lt;=AS40,0,AR48*(1-N11+N10))</f>
        <v>0</v>
      </c>
      <c r="AT48" s="13">
        <f>IF(N12&lt;=AT40,0,AS48*(1-N11+N10))</f>
        <v>0</v>
      </c>
      <c r="AU48" s="13">
        <f>IF(N12&lt;=AU40,0,AT48*(1-N11+N10))</f>
        <v>0</v>
      </c>
      <c r="AV48" s="13">
        <f>IF(N12&lt;=AV40,0,AU48*(1-N11+N10))</f>
        <v>0</v>
      </c>
      <c r="AW48" s="13">
        <f>IF(N12&lt;=AW40,0,AV48*(1-N11+N10))</f>
        <v>0</v>
      </c>
      <c r="AX48" s="13">
        <f>IF(N12&lt;=AX40,0,AW48*(1-N11+N10))</f>
        <v>0</v>
      </c>
      <c r="AY48" s="13">
        <f>IF(N12&lt;=AY40,0,AX48*(1-N11+N10))</f>
        <v>0</v>
      </c>
      <c r="AZ48" s="13"/>
      <c r="BA48" s="13"/>
      <c r="BB48" s="13"/>
      <c r="BC48" s="13"/>
    </row>
    <row r="49" spans="1:68" ht="15.75" customHeight="1" x14ac:dyDescent="0.2">
      <c r="A49" s="39">
        <v>15</v>
      </c>
      <c r="B49" s="40">
        <f>(A49*N7)</f>
        <v>0.48</v>
      </c>
      <c r="C49" s="41">
        <f>(((LARGE(I19:R19,1))+(LARGE(I19:R19,2))+(LARGE(I19:R19,3)))/3)*(B49)</f>
        <v>43353.599999999999</v>
      </c>
      <c r="R49" s="21">
        <f t="array" ref="R49">IF(N12&lt;=R40,0,NPV((N11-N10),0,0,0,0,0,0,0,0,0,0,0,0,0,0,0,0,0,0,0,0,0,0,C49))</f>
        <v>28762.476197548585</v>
      </c>
      <c r="S49" s="13">
        <f>IF(N12&lt;=S40,0,R49*(1-N11+N10))</f>
        <v>28244.751625992711</v>
      </c>
      <c r="T49" s="13">
        <f>IF(N12&lt;=T40,0,S49*(1-N11+N10))</f>
        <v>27736.346096724843</v>
      </c>
      <c r="U49" s="13">
        <f>IF(N12&lt;=U40,0,T49*(1-N11+N10))</f>
        <v>27237.091866983796</v>
      </c>
      <c r="V49" s="13">
        <f>IF(N12&lt;=V40,0,U49*(1-N11+N10))</f>
        <v>26746.824213378088</v>
      </c>
      <c r="W49" s="13">
        <f>IF(N12&lt;=W40,0,V49*(1-N11+N10))</f>
        <v>26265.38137753728</v>
      </c>
      <c r="X49" s="13">
        <f>IF(N12&lt;=X40,0,W49*(1-N11+N10))</f>
        <v>25792.604512741607</v>
      </c>
      <c r="Y49" s="13">
        <f>IF(N12&lt;=Y40,0,X49*(1-N11+N10))</f>
        <v>25328.337631512259</v>
      </c>
      <c r="Z49" s="13">
        <f>IF(N12&lt;=Z40,0,Y49*(1-N11+N10))</f>
        <v>24872.427554145037</v>
      </c>
      <c r="AA49" s="13">
        <f>IF(N12&lt;=AA40,0,Z49*(1-N11+N10))</f>
        <v>24424.723858170426</v>
      </c>
      <c r="AB49" s="13">
        <f>IF(N12&lt;=AB40,0,AA49*(1-N11+N10))</f>
        <v>23985.078828723359</v>
      </c>
      <c r="AC49" s="13">
        <f>IF(N12&lt;=AC40,0,AB49*(1-N11+N10))</f>
        <v>23553.347409806338</v>
      </c>
      <c r="AD49" s="13">
        <f>IF(N12&lt;=AD40,0,AC49*(1-N11+N10))</f>
        <v>23129.387156429824</v>
      </c>
      <c r="AE49" s="13">
        <f>IF(N12&lt;=AE40,0,AD49*(1-N11+N10))</f>
        <v>22713.058187614086</v>
      </c>
      <c r="AF49" s="13">
        <f>IF(N12&lt;=AF40,0,AE49*(1-N11+N10))</f>
        <v>22304.223140237031</v>
      </c>
      <c r="AG49" s="13">
        <f>IF(N12&lt;=AG40,0,AF49*(1-N11+N10))</f>
        <v>21902.747123712765</v>
      </c>
      <c r="AH49" s="13">
        <f>IF(N12&lt;=AH40,0,AG49*(1-N11+N10))</f>
        <v>21508.497675485934</v>
      </c>
      <c r="AI49" s="13">
        <f>IF(N12&lt;=AI40,0,AH49*(1-N11+N10))</f>
        <v>21121.344717327189</v>
      </c>
      <c r="AJ49" s="13">
        <f>IF(N12&lt;=AJ40,0,AI49*(1-N11+N10))</f>
        <v>20741.160512415299</v>
      </c>
      <c r="AK49" s="13">
        <f>IF(N12&lt;=AK40,0,AJ49*(1-F70+F69))</f>
        <v>20741.160512415299</v>
      </c>
      <c r="AL49" s="13">
        <f>IF(N12&lt;=AL40,0,AK49*(1-H70+H69))</f>
        <v>20741.160512415299</v>
      </c>
      <c r="AM49" s="13">
        <f>IF(N12&lt;=AM40,0,AL49*(1-H70+H69))</f>
        <v>20741.160512415299</v>
      </c>
      <c r="AN49" s="13">
        <f>IF(N12&lt;=AN40,0,AM49*(1-J70+J69))</f>
        <v>20741.160512415299</v>
      </c>
      <c r="AO49" s="13">
        <f>IF(N12&lt;=AO40,0,AN49*(1-N11+N10))</f>
        <v>20367.819623191823</v>
      </c>
      <c r="AP49" s="13">
        <f>IF(N12&lt;=AP40,0,AO49*(1-N11+N10))</f>
        <v>20001.198869974371</v>
      </c>
      <c r="AQ49" s="13">
        <f>IF(N12&lt;=AQ40,0,AP49*(1-N11+N10))</f>
        <v>19641.17729031483</v>
      </c>
      <c r="AR49" s="13">
        <f>IF(N12&lt;=AR40,0,AQ49*(1-N11+N10))</f>
        <v>0</v>
      </c>
      <c r="AS49" s="13">
        <f>IF(N12&lt;=AS40,0,AR49*(1-N11+N10))</f>
        <v>0</v>
      </c>
      <c r="AT49" s="13">
        <f>IF(N12&lt;=AT40,0,AS49*(1-N11+N10))</f>
        <v>0</v>
      </c>
      <c r="AU49" s="13">
        <f>IF(N12&lt;=AU40,0,AT49*(1-N11+N10))</f>
        <v>0</v>
      </c>
      <c r="AV49" s="13">
        <f>IF(N12&lt;=AV40,0,AU49*(1-N11+N10))</f>
        <v>0</v>
      </c>
      <c r="AW49" s="13">
        <f>IF(N12&lt;=AW40,0,AV49*(1-N11+N10))</f>
        <v>0</v>
      </c>
      <c r="AX49" s="13">
        <f>IF(N12&lt;=AX40,0,AW49*(1-N11+N10))</f>
        <v>0</v>
      </c>
      <c r="AY49" s="13">
        <f>IF(N12&lt;=AY40,0,AX49*(1-N11+N10))</f>
        <v>0</v>
      </c>
      <c r="AZ49" s="13"/>
      <c r="BA49" s="13"/>
      <c r="BB49" s="13"/>
      <c r="BC49" s="13"/>
    </row>
    <row r="50" spans="1:68" ht="15.75" customHeight="1" x14ac:dyDescent="0.2">
      <c r="A50" s="39">
        <v>14</v>
      </c>
      <c r="B50" s="40">
        <f>(A50*N7)</f>
        <v>0.44800000000000001</v>
      </c>
      <c r="C50" s="41">
        <f>(((LARGE(H19:Q19,1))+(LARGE(H19:Q19,2))+(LARGE(H19:Q19,3)))/3)*(B50)</f>
        <v>38397.034666666666</v>
      </c>
      <c r="R50" s="21">
        <f t="array" ref="R50">IF(N12&lt;=R40,0,NPV((N11-N10),0,0,0,0,0,0,0,0,0,0,0,0,0,0,0,0,0,0,0,0,0,0,0,C50))</f>
        <v>25023.670559877908</v>
      </c>
      <c r="S50" s="13">
        <f>IF(N12&lt;=S40,0,R50*(1-N11+N10))</f>
        <v>24573.244489800105</v>
      </c>
      <c r="T50" s="13">
        <f>IF(N12&lt;=T40,0,S50*(1-N11+N10))</f>
        <v>24130.926088983702</v>
      </c>
      <c r="U50" s="13">
        <f>IF(N12&lt;=U40,0,T50*(1-N11+N10))</f>
        <v>23696.569419381995</v>
      </c>
      <c r="V50" s="13">
        <f>IF(N12&lt;=V40,0,U50*(1-N11+N10))</f>
        <v>23270.031169833117</v>
      </c>
      <c r="W50" s="13">
        <f>IF(N12&lt;=W40,0,V50*(1-N11+N10))</f>
        <v>22851.170608776119</v>
      </c>
      <c r="X50" s="13">
        <f>IF(N12&lt;=X40,0,W50*(1-N11+N10))</f>
        <v>22439.849537818151</v>
      </c>
      <c r="Y50" s="13">
        <f>IF(N12&lt;=Y40,0,X50*(1-N11+N10))</f>
        <v>22035.932246137425</v>
      </c>
      <c r="Z50" s="13">
        <f>IF(N12&lt;=Z40,0,Y50*(1-N11+N10))</f>
        <v>21639.285465706951</v>
      </c>
      <c r="AA50" s="13">
        <f>IF(N12&lt;=AA40,0,Z50*(1-N11+N10))</f>
        <v>21249.778327324224</v>
      </c>
      <c r="AB50" s="13">
        <f>IF(N12&lt;=AB40,0,AA50*(1-N11+N10))</f>
        <v>20867.282317432386</v>
      </c>
      <c r="AC50" s="13">
        <f>IF(N12&lt;=AC40,0,AB50*(1-N11+N10))</f>
        <v>20491.671235718604</v>
      </c>
      <c r="AD50" s="13">
        <f>IF(N12&lt;=AD40,0,AC50*(1-N11+N10))</f>
        <v>20122.82115347567</v>
      </c>
      <c r="AE50" s="13">
        <f>IF(N12&lt;=AE40,0,AD50*(1-N11+N10))</f>
        <v>19760.610372713109</v>
      </c>
      <c r="AF50" s="13">
        <f>IF(N12&lt;=AF40,0,AE50*(1-N11+N10))</f>
        <v>19404.919386004272</v>
      </c>
      <c r="AG50" s="13">
        <f>IF(N12&lt;=AG40,0,AF50*(1-N11+N10))</f>
        <v>19055.630837056196</v>
      </c>
      <c r="AH50" s="13">
        <f>IF(N12&lt;=AH40,0,AG50*(1-N11+N10))</f>
        <v>18712.629481989185</v>
      </c>
      <c r="AI50" s="13">
        <f>IF(N12&lt;=AI40,0,AH50*(1-N11+N10))</f>
        <v>18375.802151313379</v>
      </c>
      <c r="AJ50" s="13">
        <f>IF(N12&lt;=AJ40,0,AI50*(1-N11+N10))</f>
        <v>18045.037712589739</v>
      </c>
      <c r="AK50" s="13">
        <f>IF(N12&lt;=AK40,0,AJ50*(1-N11+N10))</f>
        <v>17720.227033763123</v>
      </c>
      <c r="AL50" s="13">
        <f>IF(N12&lt;=AL40,0,AK50*(1-N11+N10))</f>
        <v>17401.262947155388</v>
      </c>
      <c r="AM50" s="13">
        <f>IF(N12&lt;=AM40,0,AL50*(1-N11+N10))</f>
        <v>17088.04021410659</v>
      </c>
      <c r="AN50" s="13">
        <f>IF(N12&lt;=AN40,0,AM50*(1-N11+N10))</f>
        <v>16780.455490252672</v>
      </c>
      <c r="AO50" s="13">
        <f>IF(N12&lt;=AO40,0,AN50*(1-N11+N10))</f>
        <v>16478.407291428124</v>
      </c>
      <c r="AP50" s="13">
        <f>IF(N12&lt;=AP40,0,AO50*(1-N11+N10))</f>
        <v>16181.795960182417</v>
      </c>
      <c r="AQ50" s="13">
        <f>IF(N12&lt;=AQ40,0,AP50*(1-N11+N10))</f>
        <v>15890.523632899132</v>
      </c>
      <c r="AR50" s="13">
        <f>IF(N12&lt;=AR40,0,AQ50*(1-N11+N10))</f>
        <v>0</v>
      </c>
      <c r="AS50" s="13">
        <f>IF(N12&lt;=AS40,0,AR50*(1-N11+N10))</f>
        <v>0</v>
      </c>
      <c r="AT50" s="13">
        <f>IF(N12&lt;=AT40,0,AS50*(1-N11+N10))</f>
        <v>0</v>
      </c>
      <c r="AU50" s="13">
        <f>IF(N12&lt;=AU40,0,AT50*(1-N11+N10))</f>
        <v>0</v>
      </c>
      <c r="AV50" s="13">
        <f>IF(N12&lt;=AV40,0,AU50*(1-N11+N10))</f>
        <v>0</v>
      </c>
      <c r="AW50" s="13">
        <f>IF(N12&lt;=AW40,0,AV50*(1-N11+N10))</f>
        <v>0</v>
      </c>
      <c r="AX50" s="13">
        <f>IF(N12&lt;=AX40,0,AW50*(1-N11+N10))</f>
        <v>0</v>
      </c>
      <c r="AY50" s="13">
        <f>IF(N12&lt;=AY40,0,AX50*(1-N11+N10))</f>
        <v>0</v>
      </c>
      <c r="AZ50" s="13"/>
      <c r="BA50" s="13"/>
      <c r="BB50" s="13"/>
      <c r="BC50" s="13"/>
    </row>
    <row r="51" spans="1:68" ht="15.75" customHeight="1" x14ac:dyDescent="0.2">
      <c r="A51" s="39">
        <v>13</v>
      </c>
      <c r="B51" s="40">
        <f>(A51*N7)</f>
        <v>0.41600000000000004</v>
      </c>
      <c r="C51" s="41">
        <f>(((LARGE(G19:P19,1))+(LARGE(G19:P19,2))+(LARGE(G19:P19,3)))/3)*(B51)</f>
        <v>34615.776000000005</v>
      </c>
      <c r="R51" s="21">
        <f t="array" ref="R51">IF(N12&lt;=R40,0,NPV((N11-N10),0,0,0,0,0,0,0,0,0,0,0,0,0,0,0,0,0,0,0,0,0,0,0,0,C51))</f>
        <v>22160.503410409627</v>
      </c>
      <c r="S51" s="13">
        <f>IF(N12&lt;=S40,0,R51*(1-N11+N10))</f>
        <v>21761.614349022253</v>
      </c>
      <c r="T51" s="13">
        <f>IF(N12&lt;=T40,0,S51*(1-N11+N10))</f>
        <v>21369.905290739851</v>
      </c>
      <c r="U51" s="13">
        <f>IF(N12&lt;=U40,0,T51*(1-N11+N10))</f>
        <v>20985.246995506532</v>
      </c>
      <c r="V51" s="13">
        <f>IF(N12&lt;=V40,0,U51*(1-N11+N10))</f>
        <v>20607.512549587413</v>
      </c>
      <c r="W51" s="13">
        <f>IF(N12&lt;=W40,0,V51*(1-N11+N10))</f>
        <v>20236.577323694837</v>
      </c>
      <c r="X51" s="13">
        <f>IF(N12&lt;=X40,0,W51*(1-N11+N10))</f>
        <v>19872.318931868329</v>
      </c>
      <c r="Y51" s="13">
        <f>IF(N12&lt;=Y40,0,X51*(1-N11+N10))</f>
        <v>19514.617191094698</v>
      </c>
      <c r="Z51" s="13">
        <f>IF(N12&lt;=Z40,0,Y51*(1-N11+N10))</f>
        <v>19163.354081654994</v>
      </c>
      <c r="AA51" s="13">
        <f>IF(N12&lt;=AA40,0,Z51*(1-N11+N10))</f>
        <v>18818.413708185202</v>
      </c>
      <c r="AB51" s="13">
        <f>IF(N12&lt;=AB40,0,AA51*(1-N11+N10))</f>
        <v>18479.682261437869</v>
      </c>
      <c r="AC51" s="13">
        <f>IF(N12&lt;=AC40,0,AB51*(1-N11+N10))</f>
        <v>18147.047980731986</v>
      </c>
      <c r="AD51" s="13">
        <f>IF(N12&lt;=AD40,0,AC51*(1-N11+N10))</f>
        <v>17820.401117078811</v>
      </c>
      <c r="AE51" s="13">
        <f>IF(N12&lt;=AE40,0,AD51*(1-N11+N10))</f>
        <v>17499.633896971391</v>
      </c>
      <c r="AF51" s="13">
        <f>IF(N12&lt;=AF40,0,AE51*(1-N11+N10))</f>
        <v>17184.640486825905</v>
      </c>
      <c r="AG51" s="13">
        <f>IF(N12&lt;=AG40,0,AF51*(1-N11+N10))</f>
        <v>16875.316958063038</v>
      </c>
      <c r="AH51" s="13">
        <f>IF(N12&lt;=AH40,0,AG51*(1-N11+N10))</f>
        <v>16571.561252817904</v>
      </c>
      <c r="AI51" s="13">
        <f>IF(N12&lt;=AI40,0,AH51*(1-N11+N10))</f>
        <v>16273.273150267181</v>
      </c>
      <c r="AJ51" s="13">
        <f>IF(N12&lt;=AJ40,0,AI51*(1-N11+N10))</f>
        <v>15980.354233562372</v>
      </c>
      <c r="AK51" s="13">
        <f>IF(N12&lt;=AK40,0,AJ51*(1-N11+N10))</f>
        <v>15692.707857358249</v>
      </c>
      <c r="AL51" s="13">
        <f>IF(N12&lt;=AL40,0,AK51*(1-N11+N10))</f>
        <v>15410.2391159258</v>
      </c>
      <c r="AM51" s="13">
        <f>IF(N12&lt;=AM40,0,AL51*(1-N11+N10))</f>
        <v>15132.854811839135</v>
      </c>
      <c r="AN51" s="13">
        <f>IF(N12&lt;=AN40,0,AM51*(1-N11+N10))</f>
        <v>14860.463425226031</v>
      </c>
      <c r="AO51" s="13">
        <f>IF(N12&lt;=AO40,0,AN51*(1-N11+N10))</f>
        <v>14592.975083571962</v>
      </c>
      <c r="AP51" s="13">
        <f>IF(N12&lt;=AP40,0,AO51*(1-N11+N10))</f>
        <v>14330.301532067668</v>
      </c>
      <c r="AQ51" s="13">
        <f>IF(N12&lt;=AQ40,0,AP51*(1-N11+N10))</f>
        <v>14072.356104490449</v>
      </c>
      <c r="AR51" s="13">
        <f>IF(N12&lt;=AR40,0,AQ51*(1-N11+N10))</f>
        <v>0</v>
      </c>
      <c r="AS51" s="13">
        <f>IF(N12&lt;=AS40,0,AR51*(1-N11+N10))</f>
        <v>0</v>
      </c>
      <c r="AT51" s="13">
        <f>IF(N12&lt;=AT40,0,AS51*(1-N11+N10))</f>
        <v>0</v>
      </c>
      <c r="AU51" s="13">
        <f>IF(N12&lt;=AU40,0,AT51*(1-N11+N10))</f>
        <v>0</v>
      </c>
      <c r="AV51" s="13">
        <f>IF(N12&lt;=AV40,0,AU51*(1-N11+N10))</f>
        <v>0</v>
      </c>
      <c r="AW51" s="13">
        <f>IF(N12&lt;=AW40,0,AV51*(1-N11+N10))</f>
        <v>0</v>
      </c>
      <c r="AX51" s="13">
        <f>IF(N12&lt;=AX40,0,AW51*(1-N11+N10))</f>
        <v>0</v>
      </c>
      <c r="AY51" s="13">
        <f>IF(N12&lt;=AY40,0,AX51*(1-N11+N10))</f>
        <v>0</v>
      </c>
      <c r="AZ51" s="13"/>
      <c r="BA51" s="13"/>
      <c r="BB51" s="13"/>
      <c r="BC51" s="13"/>
    </row>
    <row r="52" spans="1:68" ht="15.75" customHeight="1" x14ac:dyDescent="0.2">
      <c r="A52" s="39">
        <v>12</v>
      </c>
      <c r="B52" s="40">
        <f>(A52*N7)</f>
        <v>0.38400000000000001</v>
      </c>
      <c r="C52" s="41">
        <f>(((LARGE(F19:O19,1))+(LARGE(F19:O19,2))+(LARGE(F19:O19,3)))/3)*(B52)</f>
        <v>31256.064000000002</v>
      </c>
      <c r="R52" s="21">
        <f t="array" ref="R52">IF(N12&lt;=R40,0,NPV((N11-N10),0,0,0,0,0,0,0,0,0,0,0,0,0,0,0,0,0,0,0,0,0,0,0,0,0,C52))</f>
        <v>19655.860419348668</v>
      </c>
      <c r="S52" s="13">
        <f>IF(N12&lt;=S40,0,R52*(1-N11+N10))</f>
        <v>19302.05493180039</v>
      </c>
      <c r="T52" s="13">
        <f>IF(N12&lt;=T40,0,S52*(1-N11+N10))</f>
        <v>18954.617943027984</v>
      </c>
      <c r="U52" s="13">
        <f>IF(N12&lt;=U40,0,T52*(1-N11+N10))</f>
        <v>18613.434820053481</v>
      </c>
      <c r="V52" s="13">
        <f>IF(N12&lt;=V40,0,U52*(1-N11+N10))</f>
        <v>18278.392993292517</v>
      </c>
      <c r="W52" s="13">
        <f>IF(N12&lt;=W40,0,V52*(1-N11+N10))</f>
        <v>17949.381919413252</v>
      </c>
      <c r="X52" s="13">
        <f>IF(N12&lt;=X40,0,W52*(1-N11+N10))</f>
        <v>17626.293044863814</v>
      </c>
      <c r="Y52" s="13">
        <f>IF(N12&lt;=Y40,0,X52*(1-N11+N10))</f>
        <v>17309.019770056264</v>
      </c>
      <c r="Z52" s="13">
        <f>IF(N12&lt;=Z40,0,Y52*(1-N11+N10))</f>
        <v>16997.457414195251</v>
      </c>
      <c r="AA52" s="13">
        <f>IF(N12&lt;=AA40,0,Z52*(1-N11+N10))</f>
        <v>16691.503180739735</v>
      </c>
      <c r="AB52" s="13">
        <f>IF(N12&lt;=AB40,0,AA52*(1-N11+N10))</f>
        <v>16391.056123486422</v>
      </c>
      <c r="AC52" s="13">
        <f>IF(N12&lt;=AC40,0,AB52*(1-N11+N10))</f>
        <v>16096.017113263666</v>
      </c>
      <c r="AD52" s="13">
        <f>IF(N12&lt;=AD40,0,AC52*(1-N11+N10))</f>
        <v>15806.28880522492</v>
      </c>
      <c r="AE52" s="13">
        <f>IF(N12&lt;=AE40,0,AD52*(1-N11+N10))</f>
        <v>15521.775606730871</v>
      </c>
      <c r="AF52" s="13">
        <f>IF(N12&lt;=AF40,0,IF(N12&lt;=AF40,0,AE52*(1-N11+N10)))</f>
        <v>15242.383645809716</v>
      </c>
      <c r="AG52" s="13">
        <f>IF(N12&lt;=AG40,0,AF52*(1-N11+N10))</f>
        <v>14968.02074018514</v>
      </c>
      <c r="AH52" s="13">
        <f>IF(N12&lt;=AH40,0,AG52*(1-N11+N10))</f>
        <v>14698.596366861808</v>
      </c>
      <c r="AI52" s="13">
        <f>IF(N12&lt;=AI40,0,AH52*(1-N11+N10))</f>
        <v>14434.021632258295</v>
      </c>
      <c r="AJ52" s="13">
        <f>IF(N12&lt;=AJ40,0,AI52*(1-N11+N10))</f>
        <v>14174.209242877645</v>
      </c>
      <c r="AK52" s="13">
        <f>IF(N12&lt;=AK40,0,AJ52*(1-N11+N10))</f>
        <v>13919.073476505848</v>
      </c>
      <c r="AL52" s="13">
        <f>IF(N12&lt;=AL40,0,AK52*(1-N11+N10))</f>
        <v>13668.530153928743</v>
      </c>
      <c r="AM52" s="13">
        <f>IF(N12&lt;=AM40,0,AL52*(1-N11+N10))</f>
        <v>13422.496611158025</v>
      </c>
      <c r="AN52" s="13">
        <f>IF(N12&lt;=AN40,0,AM52*(1-N11+N10))</f>
        <v>13180.89167215718</v>
      </c>
      <c r="AO52" s="13">
        <f>IF(N12&lt;=AO40,0,AN52*(1-N11+N10))</f>
        <v>12943.635622058351</v>
      </c>
      <c r="AP52" s="13">
        <f>IF(N12&lt;=AP40,0,AO52*(1-N11+N10))</f>
        <v>12710.650180861301</v>
      </c>
      <c r="AQ52" s="13">
        <f>IF(N12&lt;=AQ40,0,AP52*(1-N11+N10))</f>
        <v>12481.858477605798</v>
      </c>
      <c r="AR52" s="13">
        <f>IF(N12&lt;=AR40,0,AQ52*(1-N11+N10))</f>
        <v>0</v>
      </c>
      <c r="AS52" s="13">
        <f>IF(N12&lt;=AS40,0,AR52*(1-N11+N10))</f>
        <v>0</v>
      </c>
      <c r="AT52" s="13">
        <f>IF(N12&lt;=AT40,0,AS52*(1-N11+N10))</f>
        <v>0</v>
      </c>
      <c r="AU52" s="13">
        <f>IF(N12&lt;=AU40,0,AT52*(1-N11+N10))</f>
        <v>0</v>
      </c>
      <c r="AV52" s="13">
        <f>IF(N12&lt;=AV40,0,AU52*(1-N11+N10))</f>
        <v>0</v>
      </c>
      <c r="AW52" s="13">
        <f>IF(N12&lt;=AW40,0,AV52*(1-N11+N10))</f>
        <v>0</v>
      </c>
      <c r="AX52" s="13">
        <f>IF(N12&lt;=AX40,0,AW52*(1-N11+N10))</f>
        <v>0</v>
      </c>
      <c r="AY52" s="13">
        <f>IF(N12&lt;=AY40,0,AX52*(1-N11+N10))</f>
        <v>0</v>
      </c>
      <c r="AZ52" s="13"/>
      <c r="BA52" s="13"/>
      <c r="BB52" s="13"/>
      <c r="BC52" s="13"/>
    </row>
    <row r="53" spans="1:68" ht="15.75" customHeight="1" x14ac:dyDescent="0.2">
      <c r="A53" s="39">
        <v>11</v>
      </c>
      <c r="B53" s="40">
        <f>(A53*N7)</f>
        <v>0.35199999999999998</v>
      </c>
      <c r="C53" s="41">
        <f>(((LARGE(E19:N19,1))+(LARGE(E19:N19,2))+(LARGE(E19:N19,3)))/3)*(B53)</f>
        <v>28012.511999999999</v>
      </c>
      <c r="R53" s="21">
        <f t="array" ref="R53">IF(N12&lt;=R40,0,NPV((N11-N10),0,0,0,0,0,0,0,0,0,0,0,0,0,0,0,0,0,0,0,0,0,0,0,0,0,0,C53))</f>
        <v>17304.6193107119</v>
      </c>
      <c r="S53" s="13">
        <f>IF(N12&lt;=S40,0,R53*(1-N11+N10))</f>
        <v>16993.136163119085</v>
      </c>
      <c r="T53" s="13">
        <f>IF(N12&lt;=T40,0,S53*(1-N11+N10))</f>
        <v>16687.259712182942</v>
      </c>
      <c r="U53" s="13">
        <f>IF(N12&lt;=U40,0,T53*(1-N11+N10))</f>
        <v>16386.88903736365</v>
      </c>
      <c r="V53" s="13">
        <f>IF(N12&lt;=V40,0,U53*(1-N11+N10))</f>
        <v>16091.925034691103</v>
      </c>
      <c r="W53" s="13">
        <f>IF(N12&lt;=W40,0,V53*(1-N11+N10))</f>
        <v>15802.270384066664</v>
      </c>
      <c r="X53" s="13">
        <f>IF(N12&lt;=X40,0,W53*(1-N11+N10))</f>
        <v>15517.829517153463</v>
      </c>
      <c r="Y53" s="13">
        <f>IF(N12&lt;=Y40,0,X53*(1-N11+N10))</f>
        <v>15238.5085858447</v>
      </c>
      <c r="Z53" s="13">
        <f>IF(N12&lt;=Z40,0,Y53*(1-N11+N10))</f>
        <v>14964.215431299495</v>
      </c>
      <c r="AA53" s="13">
        <f>IF(N12&lt;=AA40,0,Z53*(1-N11+N10))</f>
        <v>14694.859553536104</v>
      </c>
      <c r="AB53" s="13">
        <f>IF(N12&lt;=AB40,0,AA53*(1-N11+N10))</f>
        <v>14430.352081572453</v>
      </c>
      <c r="AC53" s="13">
        <f>IF(N12&lt;=AC40,0,AB53*(1-N11+N10))</f>
        <v>14170.605744104148</v>
      </c>
      <c r="AD53" s="13">
        <f>IF(N12&lt;=AD40,0,AC53*(1-N11+N10))</f>
        <v>13915.534840710274</v>
      </c>
      <c r="AE53" s="13">
        <f>IF(N12&lt;=AE40,0,AD53*(1-N11+N10))</f>
        <v>13665.055213577489</v>
      </c>
      <c r="AF53" s="13">
        <f>IF(N12&lt;=AF40,0,AE53*(1-N11+N10))</f>
        <v>13419.084219733093</v>
      </c>
      <c r="AG53" s="13">
        <f>IF(N12&lt;=AG40,0,AF53*(1-N11+N10))</f>
        <v>13177.540703777897</v>
      </c>
      <c r="AH53" s="13">
        <f>IF(N12&lt;=AH40,0,AG53*(1-N11+N10))</f>
        <v>12940.344971109895</v>
      </c>
      <c r="AI53" s="13">
        <f>IF(N12&lt;=AI40,0,AH53*(1-N11+N10))</f>
        <v>12707.418761629917</v>
      </c>
      <c r="AJ53" s="13">
        <f>IF(N12&lt;=AJ40,0,AI53*(1-N11+N10))</f>
        <v>12478.685223920578</v>
      </c>
      <c r="AK53" s="13">
        <f>IF(N12&lt;=AK40,0,AJ53*(1-N11+N10))</f>
        <v>12254.068889890008</v>
      </c>
      <c r="AL53" s="13">
        <f>IF(N12&lt;=AL40,0,AK53*(1-N11+N10))</f>
        <v>12033.495649871988</v>
      </c>
      <c r="AM53" s="13">
        <f>IF(N12&lt;=AM40,0,AL53*(1-N11+N10))</f>
        <v>11816.892728174291</v>
      </c>
      <c r="AN53" s="13">
        <f>IF(N12&lt;=AN40,0,AM53*(1-N11+N10))</f>
        <v>11604.188659067153</v>
      </c>
      <c r="AO53" s="13">
        <f>IF(N12&lt;=AO40,0,AN53*(1-N11+N10))</f>
        <v>11395.313263203943</v>
      </c>
      <c r="AP53" s="13">
        <f>IF(N12&lt;=AP40,0,AO53*(1-N11+N10))</f>
        <v>11190.197624466273</v>
      </c>
      <c r="AQ53" s="13">
        <f>IF(N12&lt;=AQ40,0,AP53*(1-N11+N10))</f>
        <v>10988.774067225881</v>
      </c>
      <c r="AR53" s="13">
        <f>IF(N12&lt;=AR40,0,AQ53*(1-N11+N10))</f>
        <v>0</v>
      </c>
      <c r="AS53" s="13">
        <f>IF(N12&lt;=AS40,0,AR53*(1-N11+N10))</f>
        <v>0</v>
      </c>
      <c r="AT53" s="13">
        <f>IF(N12&lt;=AT40,0,AS53*(1-N11+N10))</f>
        <v>0</v>
      </c>
      <c r="AU53" s="13">
        <f>IF(N12&lt;=AU40,0,AT53*(1-N11+N10))</f>
        <v>0</v>
      </c>
      <c r="AV53" s="13">
        <f>IF(N12&lt;=AV40,0,AU53*(1-N11+N10))</f>
        <v>0</v>
      </c>
      <c r="AW53" s="13">
        <f>IF(N12&lt;=AW40,0,AV53*(1-N11+N10))</f>
        <v>0</v>
      </c>
      <c r="AX53" s="13">
        <f>IF(N12&lt;=AX40,0,AW53*(1-N11+N10))</f>
        <v>0</v>
      </c>
      <c r="AY53" s="13">
        <f>IF(N12&lt;=AY40,0,AX53*(1-N11+N10))</f>
        <v>0</v>
      </c>
      <c r="AZ53" s="13"/>
      <c r="BA53" s="13"/>
      <c r="BB53" s="13"/>
      <c r="BC53" s="13"/>
    </row>
    <row r="54" spans="1:68" ht="15.75" customHeight="1" x14ac:dyDescent="0.2">
      <c r="A54" s="39">
        <v>10</v>
      </c>
      <c r="B54" s="40">
        <f>(A54*N7)</f>
        <v>0.32</v>
      </c>
      <c r="C54" s="41">
        <f>(((LARGE(D19:M19,1))+(LARGE(D19:M19,2))+(LARGE(D19:M19,3)))/3)*(B54)</f>
        <v>24885.119999999999</v>
      </c>
      <c r="R54" s="21">
        <f t="array" ref="R54">IF(N12&lt;=R40,0,NPV((N11-N10),0,0,0,0,0,0,0,0,0,0,0,0,0,0,0,0,0,0,0,0,0,0,0,0,0,0,0,C54))</f>
        <v>15100.869529343245</v>
      </c>
      <c r="S54" s="13">
        <f>IF(N12&lt;=S40,0,R54*(1-N11+N10))</f>
        <v>14829.053877815066</v>
      </c>
      <c r="T54" s="13">
        <f>IF(N12&lt;=T40,0,S54*(1-N11+N10))</f>
        <v>14562.130908014395</v>
      </c>
      <c r="U54" s="13">
        <f>IF(N12&lt;=U40,0,T54*(1-N11+N10))</f>
        <v>14300.012551670136</v>
      </c>
      <c r="V54" s="13">
        <f>IF(N12&lt;=V40,0,U54*(1-N11+N10))</f>
        <v>14042.612325740072</v>
      </c>
      <c r="W54" s="13">
        <f>IF(N12&lt;=W40,0,V54*(1-N11+N10))</f>
        <v>13789.845303876751</v>
      </c>
      <c r="X54" s="13">
        <f>IF(N12&lt;=X40,0,W54*(1-N11+N10))</f>
        <v>13541.628088406969</v>
      </c>
      <c r="Y54" s="13">
        <f>IF(N12&lt;=Y40,0,X54*(1-N11+N10))</f>
        <v>13297.878782815644</v>
      </c>
      <c r="Z54" s="13">
        <f>IF(N12&lt;=Z40,0,Y54*(1-N11+N10))</f>
        <v>13058.516964724962</v>
      </c>
      <c r="AA54" s="13">
        <f>IF(N12&lt;=AA40,0,Z54*(1-N11+N10))</f>
        <v>12823.463659359913</v>
      </c>
      <c r="AB54" s="13">
        <f>IF(N12&lt;=AB40,0,AA54*(1-N11+N10))</f>
        <v>12592.641313491435</v>
      </c>
      <c r="AC54" s="13">
        <f>IF(N12&lt;=AC40,0,AB54*(1-N11+N10))</f>
        <v>12365.973769848588</v>
      </c>
      <c r="AD54" s="13">
        <f>IF(N12&lt;=AD40,0,AC54*(1-N11+N10))</f>
        <v>12143.386241991313</v>
      </c>
      <c r="AE54" s="13">
        <f>IF(N12&lt;=AE40,0,AD54*(1-N11+N10))</f>
        <v>11924.805289635469</v>
      </c>
      <c r="AF54" s="13">
        <f>IF(N12&lt;=AF40,0,AE54*(1-N11+N10))</f>
        <v>11710.15879442203</v>
      </c>
      <c r="AG54" s="13">
        <f>IF(N12&lt;=AG40,0,AF54*(1-N11+N10))</f>
        <v>11499.375936122433</v>
      </c>
      <c r="AH54" s="13">
        <f>IF(N12&lt;=AH40,0,AG54*(1-N11+N10))</f>
        <v>11292.38716927223</v>
      </c>
      <c r="AI54" s="13">
        <f>IF(N12&lt;=AI40,0,AH54*(1-N11+N10))</f>
        <v>11089.124200225329</v>
      </c>
      <c r="AJ54" s="13">
        <f>IF(N12&lt;=AJ40,0,AI54*(1-N11+N10))</f>
        <v>10889.519964621273</v>
      </c>
      <c r="AK54" s="13">
        <f>IF(N12&lt;=AK40,0,AJ54*(1-N11+N10))</f>
        <v>10693.50860525809</v>
      </c>
      <c r="AL54" s="13">
        <f>IF(N12&lt;=AL40,0,AK54*(1-N11+N10))</f>
        <v>10501.025450363444</v>
      </c>
      <c r="AM54" s="13">
        <f>IF(N12&lt;=AM40,0,AL54*(1-N11+N10))</f>
        <v>10312.006992256902</v>
      </c>
      <c r="AN54" s="13">
        <f>IF(N12&lt;=AN40,0,AM54*(1-N11+N10))</f>
        <v>10126.390866396277</v>
      </c>
      <c r="AO54" s="13">
        <f>IF(N12&lt;=AO40,0,AN54*(1-N11+N10))</f>
        <v>9944.1158308011436</v>
      </c>
      <c r="AP54" s="13">
        <f>IF(N12&lt;=AP40,0,AO54*(1-N11+N10))</f>
        <v>9765.1217458467236</v>
      </c>
      <c r="AQ54" s="13">
        <f>IF(N12&lt;=AQ40,0,AP54*(1-N11+N10))</f>
        <v>9589.349554421482</v>
      </c>
      <c r="AR54" s="13">
        <f>IF(N12&lt;=AR40,0,AQ54*(1-N11+N10))</f>
        <v>0</v>
      </c>
      <c r="AS54" s="13">
        <f>IF(N12&lt;=AS40,0,AR54*(1-N11+N10))</f>
        <v>0</v>
      </c>
      <c r="AT54" s="13">
        <f>IF(N12&lt;=AT40,0,AS54*(1-N11+N10))</f>
        <v>0</v>
      </c>
      <c r="AU54" s="13">
        <f>IF(N12&lt;=AU40,0,AT54*(1-N11+N10))</f>
        <v>0</v>
      </c>
      <c r="AV54" s="13">
        <f>IF(N12&lt;=AV40,0,AU54*(1-N11+N10))</f>
        <v>0</v>
      </c>
      <c r="AW54" s="13">
        <f>IF(N12&lt;=AW40,0,AV54*(1-N11+N10))</f>
        <v>0</v>
      </c>
      <c r="AX54" s="13">
        <f>IF(N12&lt;=AX40,0,AW54*(1-N11+N10))</f>
        <v>0</v>
      </c>
      <c r="AY54" s="13">
        <f>IF(N12&lt;=AY40,0,AX54*(1-N11+N10))</f>
        <v>0</v>
      </c>
      <c r="AZ54" s="13"/>
      <c r="BA54" s="13"/>
      <c r="BB54" s="13"/>
      <c r="BC54" s="13"/>
    </row>
    <row r="55" spans="1:68" ht="15.75" customHeight="1" x14ac:dyDescent="0.2">
      <c r="A55" s="65"/>
      <c r="B55" s="63"/>
      <c r="C55" s="6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</row>
    <row r="56" spans="1:68" ht="15.75" customHeight="1" x14ac:dyDescent="0.2">
      <c r="A56" s="79" t="s">
        <v>70</v>
      </c>
      <c r="B56" s="63"/>
      <c r="C56" s="63"/>
      <c r="D56" s="22">
        <f>IF(N12&lt;=D40,0,N5)</f>
        <v>76429.183999999994</v>
      </c>
      <c r="E56" s="22">
        <f>IF(N12&lt;=E40,0,N5)</f>
        <v>76429.183999999994</v>
      </c>
      <c r="F56" s="22">
        <f>IF(N12&lt;=F40,0,N5)</f>
        <v>76429.183999999994</v>
      </c>
      <c r="G56" s="22">
        <f>IF(N12&lt;=G40,0,N5)</f>
        <v>76429.183999999994</v>
      </c>
      <c r="H56" s="22">
        <f>IF(N12&lt;=H40,0,N5)</f>
        <v>76429.183999999994</v>
      </c>
      <c r="I56" s="22">
        <f>IF(N12&lt;=I40,0,N5)</f>
        <v>76429.183999999994</v>
      </c>
      <c r="J56" s="22">
        <f>IF(N12&lt;=J40,0,N5)</f>
        <v>76429.183999999994</v>
      </c>
      <c r="K56" s="22">
        <f>IF(N12&lt;=K40,0,N5)</f>
        <v>76429.183999999994</v>
      </c>
      <c r="L56" s="22">
        <f>IF(N12&lt;=L40,0,N5)</f>
        <v>76429.183999999994</v>
      </c>
      <c r="M56" s="22">
        <f>IF(N12&lt;=M40,0,N5)</f>
        <v>76429.183999999994</v>
      </c>
      <c r="N56" s="22">
        <f>IF(N12&lt;=N40,0,N5)</f>
        <v>76429.183999999994</v>
      </c>
      <c r="O56" s="22">
        <f>IF(N12&lt;=O40,0,N5)</f>
        <v>76429.183999999994</v>
      </c>
      <c r="P56" s="22">
        <f>IF(N12&lt;=P40,0,N5)</f>
        <v>76429.183999999994</v>
      </c>
      <c r="Q56" s="22">
        <f>IF(N12&lt;=Q40,0,N5)</f>
        <v>76429.183999999994</v>
      </c>
      <c r="R56" s="22">
        <f>IF(N12&lt;=R40,0,N5)</f>
        <v>76429.183999999994</v>
      </c>
      <c r="S56" s="22">
        <f>IF(N12&lt;=S40,0,N5)</f>
        <v>76429.183999999994</v>
      </c>
      <c r="T56" s="22">
        <f>IF(N12&lt;=T40,0,N5)</f>
        <v>76429.183999999994</v>
      </c>
      <c r="U56" s="22">
        <f>IF(N12&lt;=U40,0,N5)</f>
        <v>76429.183999999994</v>
      </c>
      <c r="V56" s="22">
        <f>IF(N12&lt;=V40,0,N5)</f>
        <v>76429.183999999994</v>
      </c>
      <c r="W56" s="22">
        <f>IF(N12&lt;=W40,0,N5)</f>
        <v>76429.183999999994</v>
      </c>
      <c r="X56" s="22">
        <f>IF(N12&lt;=X40,0,N5)</f>
        <v>76429.183999999994</v>
      </c>
      <c r="Y56" s="22">
        <f>IF(N12&lt;=Y40,0,N5)</f>
        <v>76429.183999999994</v>
      </c>
      <c r="Z56" s="22">
        <f>IF(N12&lt;=Z40,0,N5)</f>
        <v>76429.183999999994</v>
      </c>
      <c r="AA56" s="22">
        <f>IF(N12&lt;=AA40,0,N5)</f>
        <v>76429.183999999994</v>
      </c>
      <c r="AB56" s="22">
        <f>IF(N12&lt;=AB40,0,N5)</f>
        <v>76429.183999999994</v>
      </c>
      <c r="AC56" s="22">
        <f>IF(N12&lt;=AC40,0,N5)</f>
        <v>76429.183999999994</v>
      </c>
      <c r="AD56" s="22">
        <f>IF(N12&lt;=AD40,0,N5)</f>
        <v>76429.183999999994</v>
      </c>
      <c r="AE56" s="22">
        <f>IF(N12&lt;=AE40,0,N5)</f>
        <v>76429.183999999994</v>
      </c>
      <c r="AF56" s="22">
        <f>IF(N12&lt;=AF40,0,N5)</f>
        <v>76429.183999999994</v>
      </c>
      <c r="AG56" s="22">
        <f>IF(N12&lt;=AG40,0,N5)</f>
        <v>76429.183999999994</v>
      </c>
      <c r="AH56" s="22">
        <f>IF(N12&lt;=AH40,0,N5)</f>
        <v>76429.183999999994</v>
      </c>
      <c r="AI56" s="22">
        <f>IF(N12&lt;=AI40,0,N5)</f>
        <v>76429.183999999994</v>
      </c>
      <c r="AJ56" s="22">
        <f>IF(N12&lt;=AJ40,0,N5)</f>
        <v>76429.183999999994</v>
      </c>
      <c r="AK56" s="22">
        <f>IF(N12&lt;=AK40,0,N5)</f>
        <v>76429.183999999994</v>
      </c>
      <c r="AL56" s="22">
        <f>IF(N12&lt;=AL40,0,N5)</f>
        <v>76429.183999999994</v>
      </c>
      <c r="AM56" s="22">
        <f>IF(N12&lt;=AM40,0,N5)</f>
        <v>76429.183999999994</v>
      </c>
      <c r="AN56" s="22">
        <f>IF(N12&lt;=AN40,0,N5)</f>
        <v>76429.183999999994</v>
      </c>
      <c r="AO56" s="22">
        <f>IF(N12&lt;=AO40,0,N5)</f>
        <v>76429.183999999994</v>
      </c>
      <c r="AP56" s="22">
        <f>IF(N12&lt;=AP40,0,N5)</f>
        <v>76429.183999999994</v>
      </c>
      <c r="AQ56" s="22">
        <f>IF(N12&lt;=AQ40,0,N5)</f>
        <v>76429.183999999994</v>
      </c>
      <c r="AR56" s="22">
        <f>IF(N12&lt;=AR40,0,N5)</f>
        <v>0</v>
      </c>
      <c r="AS56" s="22">
        <f>IF(N12&lt;=AS40,0,N5)</f>
        <v>0</v>
      </c>
      <c r="AT56" s="22">
        <f>IF(N12&lt;=AT40,0,N5)</f>
        <v>0</v>
      </c>
      <c r="AU56" s="22">
        <f>IF(N12&lt;=AU40,0,N5)</f>
        <v>0</v>
      </c>
      <c r="AV56" s="22">
        <f>IF(N12&lt;=AV40,0,N5)</f>
        <v>0</v>
      </c>
      <c r="AW56" s="22">
        <f>IF(N12&lt;=AW40,0,N5)</f>
        <v>0</v>
      </c>
      <c r="AX56" s="22">
        <f>IF(N12&lt;=AX40,0,N5)</f>
        <v>0</v>
      </c>
      <c r="AY56" s="22">
        <f>IF(N12&lt;=AY40,0,N5)</f>
        <v>0</v>
      </c>
      <c r="AZ56" s="22"/>
      <c r="BA56" s="22"/>
      <c r="BB56" s="22"/>
      <c r="BC56" s="22"/>
    </row>
    <row r="57" spans="1:68" ht="15.75" customHeight="1" x14ac:dyDescent="0.2">
      <c r="A57" s="80" t="s">
        <v>71</v>
      </c>
      <c r="B57" s="63"/>
      <c r="C57" s="63"/>
      <c r="D57" s="22">
        <f>IF(N12&lt;=D40,0,MAX(0,(-FV((N8-N11),1,-D56,AA37))))</f>
        <v>1636161.4323249715</v>
      </c>
      <c r="E57" s="22">
        <f>IF(N12&lt;=E40,0,MAX(0,(-FV((N8-N11),1,-E56,D57))))</f>
        <v>1648903.0463866827</v>
      </c>
      <c r="F57" s="22">
        <f>IF(N12&lt;=F40,0,MAX(0,(-FV((N8-N11),1,-F56,E57))))</f>
        <v>1662339.078414757</v>
      </c>
      <c r="G57" s="22">
        <f>IF(N12&lt;=G40,0,MAX(0,(-FV((N8-N11),1,-G56,F57))))</f>
        <v>1676507.3741883615</v>
      </c>
      <c r="H57" s="22">
        <f>IF(N12&lt;=H40,0,MAX(0,(-FV((N8-N11),1,-H56,G57))))</f>
        <v>1691447.8420816273</v>
      </c>
      <c r="I57" s="22">
        <f>IF(N12&lt;=I40,0,MAX(0,(-FV((N8-N11),1,-I56,H57))))</f>
        <v>1707202.5654750762</v>
      </c>
      <c r="J57" s="22">
        <f>IF(N12&lt;=J40,0,MAX(0,(-FV((N8-N11),1,-J56,I57))))</f>
        <v>1723815.921293468</v>
      </c>
      <c r="K57" s="22">
        <f>IF(N12&lt;=K40,0,MAX(0,(-FV((N8-N11),1,-K56,J57))))</f>
        <v>1741334.7050039622</v>
      </c>
      <c r="L57" s="22">
        <f>IF(N12&lt;=L40,0,MAX(0,(-FV((N8-N11),1,-L56,K57))))</f>
        <v>1759808.2624266781</v>
      </c>
      <c r="M57" s="22">
        <f>IF(N12&lt;=M40,0,MAX(0,(-FV((N8-N11),1,-M56,L57))))</f>
        <v>1779288.6287289322</v>
      </c>
      <c r="N57" s="22">
        <f>IF(N12&lt;=N40,0,MAX(0,(-FV((N8-N11),1,-N56,M57))))</f>
        <v>1799830.6749946591</v>
      </c>
      <c r="O57" s="22">
        <f>IF(N12&lt;=O40,0,MAX(0,(-FV((N8-N11),1,-O56,N57))))</f>
        <v>1821492.2627818682</v>
      </c>
      <c r="P57" s="22">
        <f>IF(N12&lt;=P40,0,MAX(0,(-FV((N8-N11),1,-P56,O57))))</f>
        <v>1844334.4071034801</v>
      </c>
      <c r="Q57" s="22">
        <f>IF(N12&lt;=Q40,0,MAX(0,(-FV((N8-N11),1,-Q56,P57))))</f>
        <v>1868421.4482906198</v>
      </c>
      <c r="R57" s="22">
        <f>IF(N12&lt;=R40,0,MAX(0,(-FV((N8-N11),1,-R56,Q57))))</f>
        <v>1893821.2332224587</v>
      </c>
      <c r="S57" s="22">
        <f>IF(N12&lt;=S40,0,MAX(0,(-FV((N8-N11),1,-S56,R57))))</f>
        <v>1920605.3064330828</v>
      </c>
      <c r="T57" s="22">
        <f>IF(N12&lt;=T40,0,MAX(0,(-FV((N8-N11),1,-T56,S57))))</f>
        <v>1948849.1116336859</v>
      </c>
      <c r="U57" s="22">
        <f>IF(N12&lt;=U40,0,MAX(0,(-FV((N8-N11),1,-U56,T57))))</f>
        <v>1978632.2042177219</v>
      </c>
      <c r="V57" s="22">
        <f>IF(N12&lt;=V40,0,MAX(0,(-FV((N8-N11),1,-V56,U57))))</f>
        <v>2010038.4753475878</v>
      </c>
      <c r="W57" s="22">
        <f>IF(N12&lt;=W40,0,MAX(0,(-FV((N8-N11),1,-W56,V57))))</f>
        <v>2043156.3882540315</v>
      </c>
      <c r="X57" s="22">
        <f>IF(N12&lt;=X40,0,MAX(0,(-FV((N8-N11),1,-X56,W57))))</f>
        <v>2078079.2274138764</v>
      </c>
      <c r="Y57" s="22">
        <f>IF(N12&lt;=Y40,0,MAX(0,(-FV((N8-N11),1,-Y56,X57))))</f>
        <v>2114905.361307933</v>
      </c>
      <c r="Z57" s="22">
        <f>IF(N12&lt;=Z40,0,MAX(0,(-FV((N8-N11),1,-Z56,Y57))))</f>
        <v>2153738.5194992153</v>
      </c>
      <c r="AA57" s="22">
        <f>IF(N12&lt;=AA40,0,MAX(0,(-FV((N8-N11),1,-AA56,Z57))))</f>
        <v>2194688.0848119226</v>
      </c>
      <c r="AB57" s="22">
        <f>IF(N12&lt;=AB40,0,MAX(0,(-FV((N8-N11),1,-AB56,AA57))))</f>
        <v>2237869.4014341724</v>
      </c>
      <c r="AC57" s="22">
        <f>IF(N12&lt;=AC40,0,MAX(0,(-FV((N8-N11),1,-AC56,AB57))))</f>
        <v>2283404.0998123349</v>
      </c>
      <c r="AD57" s="22">
        <f>IF(N12&lt;=AD40,0,MAX(0,(-FV((N8-N11),1,-AD56,AC57))))</f>
        <v>2331420.4392521074</v>
      </c>
      <c r="AE57" s="22">
        <f>IF(N12&lt;=AE40,0,MAX(0,(-FV((N8-N11),1,-AE56,AD57))))</f>
        <v>2382053.6691913474</v>
      </c>
      <c r="AF57" s="22">
        <f>IF(N12&lt;=AF40,0,MAX(0,(-FV((N8-N11),1,-AF56,AE57))))</f>
        <v>2435446.4101622761</v>
      </c>
      <c r="AG57" s="22">
        <f>IF(N12&lt;=AG40,0,MAX(0,(-FV((N8-N11),1,-AG56,AF57))))</f>
        <v>2491749.05551612</v>
      </c>
      <c r="AH57" s="22">
        <f>IF(N12&lt;=AH40,0,MAX(0,(-FV((N8-N11),1,-AH56,AG57))))</f>
        <v>2551120.1950417487</v>
      </c>
      <c r="AI57" s="22">
        <f>IF(N12&lt;=AI40,0,MAX(0,(-FV((N8-N11),1,-AI56,AH57))))</f>
        <v>2613727.0616715243</v>
      </c>
      <c r="AJ57" s="22">
        <f>IF(N12&lt;=AJ40,0,MAX(0,(-FV((N8-N11),1,-AJ56,AI57))))</f>
        <v>2679746.0025326223</v>
      </c>
      <c r="AK57" s="22">
        <f>IF(N12&lt;=AK40,0,MAX(0,(-FV((N8-N11),1,-AK56,AJ57))))</f>
        <v>2749362.9756706501</v>
      </c>
      <c r="AL57" s="22">
        <f>IF(N12&lt;=AL40,0,MAX(0,(-FV((N8-N11),1,-AL56,AK57))))</f>
        <v>2822774.0738447006</v>
      </c>
      <c r="AM57" s="22">
        <f>IF(N12&lt;=AM40,0,MAX(0,(-FV((N8-N11),1,-AM56,AL57))))</f>
        <v>2900186.0768692368</v>
      </c>
      <c r="AN57" s="22">
        <f>IF(N12&lt;=AN40,0,MAX(0,(-FV((N8-N11),1,-AN56,AM57))))</f>
        <v>2981817.0340586104</v>
      </c>
      <c r="AO57" s="22">
        <f>IF(N12&lt;=AO40,0,MAX(0,(-FV((N8-N11),1,-AO56,AN57))))</f>
        <v>3067896.8784148046</v>
      </c>
      <c r="AP57" s="22">
        <f>IF(N12&lt;=AP40,0,MAX(0,(-FV((N8-N11),1,-AP56,AO57))))</f>
        <v>3158668.0742884115</v>
      </c>
      <c r="AQ57" s="22">
        <f>IF(N12&lt;=AQ40,0,MAX(0,(-FV((N8-N11),1,-AQ56,AP57))))</f>
        <v>3254386.3003371302</v>
      </c>
      <c r="AR57" s="22">
        <f>IF(N12&lt;=AR40,0,MAX(0,(-FV((N8-N11),1,-AR56,AQ57))))</f>
        <v>0</v>
      </c>
      <c r="AS57" s="22">
        <f>IF(N12&lt;=AS40,0,MAX(0,(-FV((N8-N11),1,-AS56,AR57))))</f>
        <v>0</v>
      </c>
      <c r="AT57" s="22">
        <f>IF(N12&lt;=AT40,0,MAX(0,(-FV((N8-N11),1,-AT56,AS57))))</f>
        <v>0</v>
      </c>
      <c r="AU57" s="22">
        <f>IF(N12&lt;=AU40,0,MAX(0,(-FV((N8-N11),1,-AU56,AT57))))</f>
        <v>0</v>
      </c>
      <c r="AV57" s="22">
        <f>IF(N12&lt;=AV40,0,MAX(0,(-FV((N8-N11),1,-AV56,AU57))))</f>
        <v>0</v>
      </c>
      <c r="AW57" s="22">
        <f>IF(N12&lt;=AW40,0,MAX(0,(-FV((N8-N11),1,-AW56,AV57))))</f>
        <v>0</v>
      </c>
      <c r="AX57" s="22">
        <f>IF(N12&lt;=AX40,0,MAX(0,(-FV((N8-N11),1,-AX56,AW57))))</f>
        <v>0</v>
      </c>
      <c r="AY57" s="22">
        <f>IF(N12&lt;=AY40,0,MAX(0,(-FV((N8-N11),1,-AY56,AX57))))</f>
        <v>0</v>
      </c>
      <c r="AZ57" s="22"/>
      <c r="BA57" s="22"/>
      <c r="BB57" s="22"/>
      <c r="BC57" s="22"/>
    </row>
    <row r="58" spans="1:68" ht="15.75" customHeight="1" x14ac:dyDescent="0.2">
      <c r="E58" s="14"/>
      <c r="F58" s="14"/>
      <c r="G58" s="14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68" ht="15.75" customHeight="1" x14ac:dyDescent="0.2"/>
    <row r="60" spans="1:68" ht="15.75" customHeight="1" x14ac:dyDescent="0.2"/>
    <row r="61" spans="1:68" ht="15.75" customHeight="1" x14ac:dyDescent="0.2">
      <c r="K61" s="43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68" ht="15.75" customHeight="1" x14ac:dyDescent="0.2">
      <c r="F62" s="44"/>
      <c r="G62" s="43"/>
      <c r="H62" s="44"/>
      <c r="I62" s="44"/>
      <c r="K62" s="43"/>
      <c r="M62" s="43"/>
      <c r="O62" s="43"/>
      <c r="Q62" s="43"/>
      <c r="S62" s="43"/>
      <c r="U62" s="43"/>
      <c r="V62" s="43"/>
      <c r="W62" s="43"/>
      <c r="X62" s="43"/>
      <c r="Y62" s="45"/>
    </row>
    <row r="63" spans="1:68" ht="15.75" customHeight="1" x14ac:dyDescent="0.2">
      <c r="F63" s="44"/>
      <c r="G63" s="21"/>
      <c r="H63" s="44"/>
      <c r="I63" s="44"/>
      <c r="J63" s="44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5"/>
    </row>
    <row r="64" spans="1:68" ht="15.75" customHeight="1" x14ac:dyDescent="0.2">
      <c r="F64" s="44"/>
      <c r="G64" s="21"/>
      <c r="H64" s="44"/>
      <c r="I64" s="44"/>
      <c r="J64" s="44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5"/>
    </row>
    <row r="65" spans="6:29" ht="15.75" customHeight="1" x14ac:dyDescent="0.2">
      <c r="F65" s="44"/>
      <c r="G65" s="21"/>
      <c r="H65" s="44"/>
      <c r="I65" s="44"/>
      <c r="J65" s="44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5"/>
    </row>
    <row r="66" spans="6:29" ht="15.75" customHeight="1" x14ac:dyDescent="0.2">
      <c r="F66" s="44"/>
      <c r="G66" s="21"/>
      <c r="H66" s="44"/>
      <c r="I66" s="44"/>
      <c r="J66" s="44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5"/>
    </row>
    <row r="67" spans="6:29" ht="15.75" customHeight="1" x14ac:dyDescent="0.2">
      <c r="F67" s="44"/>
      <c r="G67" s="21"/>
      <c r="H67" s="44"/>
      <c r="I67" s="44"/>
      <c r="J67" s="44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5"/>
    </row>
    <row r="68" spans="6:29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29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29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29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29" ht="15.75" customHeight="1" x14ac:dyDescent="0.2">
      <c r="F72" s="44"/>
      <c r="G72" s="46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6:29" ht="15.75" customHeight="1" x14ac:dyDescent="0.2">
      <c r="F73" s="44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</row>
    <row r="74" spans="6:29" ht="15.75" customHeight="1" x14ac:dyDescent="0.2">
      <c r="F74" s="44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</row>
    <row r="75" spans="6:29" ht="15.75" customHeight="1" x14ac:dyDescent="0.2">
      <c r="F75" s="44"/>
    </row>
    <row r="76" spans="6:29" ht="15.75" customHeight="1" x14ac:dyDescent="0.2"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6:29" ht="15.75" customHeight="1" x14ac:dyDescent="0.2"/>
    <row r="78" spans="6:29" ht="15.75" customHeight="1" x14ac:dyDescent="0.2"/>
    <row r="79" spans="6:29" ht="15.75" customHeight="1" x14ac:dyDescent="0.2"/>
    <row r="80" spans="6:29" ht="15.75" customHeight="1" x14ac:dyDescent="0.2"/>
    <row r="81" spans="7:11" ht="15.75" customHeight="1" x14ac:dyDescent="0.2"/>
    <row r="82" spans="7:11" ht="15.75" customHeight="1" x14ac:dyDescent="0.2"/>
    <row r="83" spans="7:11" ht="15.75" customHeight="1" x14ac:dyDescent="0.2"/>
    <row r="84" spans="7:11" ht="15.75" customHeight="1" x14ac:dyDescent="0.2"/>
    <row r="85" spans="7:11" ht="15.75" customHeight="1" x14ac:dyDescent="0.2"/>
    <row r="86" spans="7:11" ht="15.75" customHeight="1" x14ac:dyDescent="0.2"/>
    <row r="87" spans="7:11" ht="15.75" customHeight="1" x14ac:dyDescent="0.2"/>
    <row r="88" spans="7:11" ht="15.75" customHeight="1" x14ac:dyDescent="0.2"/>
    <row r="89" spans="7:11" ht="15.75" customHeight="1" x14ac:dyDescent="0.2"/>
    <row r="90" spans="7:11" ht="15.75" customHeight="1" x14ac:dyDescent="0.2"/>
    <row r="91" spans="7:11" ht="15.75" customHeight="1" x14ac:dyDescent="0.2">
      <c r="G91" s="14"/>
      <c r="H91" s="14"/>
      <c r="I91" s="14"/>
      <c r="J91" s="14"/>
      <c r="K91" s="14"/>
    </row>
    <row r="92" spans="7:11" ht="15.75" customHeight="1" x14ac:dyDescent="0.2"/>
    <row r="93" spans="7:11" ht="15.75" customHeight="1" x14ac:dyDescent="0.2"/>
    <row r="94" spans="7:11" ht="15.75" customHeight="1" x14ac:dyDescent="0.2"/>
    <row r="95" spans="7:11" ht="15.75" customHeight="1" x14ac:dyDescent="0.2"/>
    <row r="96" spans="7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A57:C57"/>
    <mergeCell ref="A42:C42"/>
    <mergeCell ref="A35:C35"/>
    <mergeCell ref="A34:C34"/>
    <mergeCell ref="A36:C36"/>
    <mergeCell ref="A37:C37"/>
    <mergeCell ref="A41:C41"/>
    <mergeCell ref="A39:D39"/>
    <mergeCell ref="A40:C40"/>
    <mergeCell ref="A43:C43"/>
    <mergeCell ref="A55:C55"/>
    <mergeCell ref="A56:C56"/>
    <mergeCell ref="A33:C33"/>
    <mergeCell ref="A30:C30"/>
    <mergeCell ref="A31:C31"/>
    <mergeCell ref="A26:C26"/>
    <mergeCell ref="A25:C25"/>
    <mergeCell ref="A32:C32"/>
    <mergeCell ref="A27:C27"/>
    <mergeCell ref="A28:C28"/>
    <mergeCell ref="A4:I4"/>
    <mergeCell ref="A2:I2"/>
    <mergeCell ref="A13:I13"/>
    <mergeCell ref="A14:I14"/>
    <mergeCell ref="A9:I9"/>
    <mergeCell ref="A18:C18"/>
    <mergeCell ref="A17:C17"/>
    <mergeCell ref="A24:C24"/>
    <mergeCell ref="A29:C29"/>
    <mergeCell ref="A21:C21"/>
    <mergeCell ref="A23:C23"/>
    <mergeCell ref="A22:C22"/>
    <mergeCell ref="A12:I12"/>
    <mergeCell ref="J8:M8"/>
    <mergeCell ref="J9:M9"/>
    <mergeCell ref="J10:M10"/>
    <mergeCell ref="J11:M11"/>
    <mergeCell ref="J3:M3"/>
    <mergeCell ref="P2:AA2"/>
    <mergeCell ref="P9:AA9"/>
    <mergeCell ref="J13:M13"/>
    <mergeCell ref="P12:AA12"/>
    <mergeCell ref="P11:AA11"/>
    <mergeCell ref="P10:AA10"/>
    <mergeCell ref="P3:AA3"/>
    <mergeCell ref="P7:AA7"/>
    <mergeCell ref="P6:AA6"/>
    <mergeCell ref="P5:AA5"/>
    <mergeCell ref="P8:AA8"/>
    <mergeCell ref="J6:M6"/>
    <mergeCell ref="AA18:AB18"/>
    <mergeCell ref="AA19:AB19"/>
    <mergeCell ref="H16:BP16"/>
    <mergeCell ref="AA17:AB17"/>
    <mergeCell ref="A1:AA1"/>
    <mergeCell ref="J14:M14"/>
    <mergeCell ref="A11:I11"/>
    <mergeCell ref="A10:I10"/>
    <mergeCell ref="J4:M4"/>
    <mergeCell ref="P4:AA4"/>
    <mergeCell ref="A5:I5"/>
    <mergeCell ref="A6:I6"/>
    <mergeCell ref="A3:I3"/>
    <mergeCell ref="J2:N2"/>
    <mergeCell ref="O2:O14"/>
    <mergeCell ref="J5:M5"/>
    <mergeCell ref="R44:AD44"/>
    <mergeCell ref="J7:M7"/>
    <mergeCell ref="J12:M12"/>
    <mergeCell ref="A19:C19"/>
    <mergeCell ref="A20:C20"/>
    <mergeCell ref="A8:I8"/>
    <mergeCell ref="A7:I7"/>
    <mergeCell ref="A15:BP15"/>
    <mergeCell ref="E16:G16"/>
    <mergeCell ref="A16:D16"/>
    <mergeCell ref="AA37:AB37"/>
    <mergeCell ref="AA30:AB30"/>
    <mergeCell ref="AA35:AB36"/>
    <mergeCell ref="AA28:AB29"/>
    <mergeCell ref="H39:BC39"/>
    <mergeCell ref="E39:G39"/>
  </mergeCells>
  <conditionalFormatting sqref="D56:AY57">
    <cfRule type="cellIs" dxfId="9" priority="1" operator="equal">
      <formula>0</formula>
    </cfRule>
  </conditionalFormatting>
  <conditionalFormatting sqref="D57:AY57">
    <cfRule type="cellIs" dxfId="8" priority="2" operator="between">
      <formula>500000</formula>
      <formula>1</formula>
    </cfRule>
  </conditionalFormatting>
  <conditionalFormatting sqref="D34:M34">
    <cfRule type="cellIs" dxfId="7" priority="3" operator="lessThan">
      <formula>0</formula>
    </cfRule>
  </conditionalFormatting>
  <conditionalFormatting sqref="N35:W35">
    <cfRule type="cellIs" dxfId="6" priority="4" operator="lessThan">
      <formula>0</formula>
    </cfRule>
  </conditionalFormatting>
  <conditionalFormatting sqref="O49">
    <cfRule type="notContainsBlanks" dxfId="5" priority="5">
      <formula>LEN(TRIM(O49))&gt;0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1000"/>
  <sheetViews>
    <sheetView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66" width="8.5703125" customWidth="1"/>
  </cols>
  <sheetData>
    <row r="1" spans="1:66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66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66" ht="15.75" customHeight="1" x14ac:dyDescent="0.25">
      <c r="A3" s="72" t="s">
        <v>4</v>
      </c>
      <c r="B3" s="63"/>
      <c r="C3" s="63"/>
      <c r="D3" s="63"/>
      <c r="E3" s="63"/>
      <c r="F3" s="63"/>
      <c r="G3" s="63"/>
      <c r="H3" s="63"/>
      <c r="I3" s="63"/>
      <c r="J3" s="91" t="s">
        <v>88</v>
      </c>
      <c r="K3" s="70"/>
      <c r="L3" s="70"/>
      <c r="M3" s="71"/>
      <c r="N3" s="5">
        <v>30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66" ht="15.75" customHeight="1" x14ac:dyDescent="0.25">
      <c r="A4" s="72" t="s">
        <v>9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66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66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16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66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18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66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66" ht="15.75" customHeight="1" x14ac:dyDescent="0.25">
      <c r="A9" s="72" t="s">
        <v>26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28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66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66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66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66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66" ht="15.75" customHeight="1" x14ac:dyDescent="0.25">
      <c r="A14" s="72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66" ht="15.75" customHeight="1" x14ac:dyDescent="0.2">
      <c r="A15" s="6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66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</row>
    <row r="17" spans="1:47" ht="15.75" customHeight="1" x14ac:dyDescent="0.25">
      <c r="A17" s="87" t="s">
        <v>45</v>
      </c>
      <c r="B17" s="63"/>
      <c r="C17" s="63"/>
      <c r="D17" s="12">
        <v>30</v>
      </c>
      <c r="E17" s="12">
        <v>31</v>
      </c>
      <c r="F17" s="61">
        <v>32</v>
      </c>
      <c r="G17" s="61">
        <v>33</v>
      </c>
      <c r="H17" s="61">
        <v>34</v>
      </c>
      <c r="I17" s="61">
        <v>35</v>
      </c>
      <c r="J17" s="61">
        <v>36</v>
      </c>
      <c r="K17" s="61">
        <v>37</v>
      </c>
      <c r="L17" s="61">
        <v>38</v>
      </c>
      <c r="M17" s="61">
        <v>39</v>
      </c>
      <c r="N17" s="61">
        <v>40</v>
      </c>
      <c r="O17" s="61">
        <v>41</v>
      </c>
      <c r="P17" s="61">
        <v>42</v>
      </c>
      <c r="Q17" s="61">
        <v>43</v>
      </c>
      <c r="R17" s="61">
        <v>44</v>
      </c>
      <c r="S17" s="61">
        <v>45</v>
      </c>
      <c r="T17" s="61">
        <v>46</v>
      </c>
      <c r="U17" s="61">
        <v>47</v>
      </c>
      <c r="V17" s="61">
        <v>48</v>
      </c>
      <c r="W17" s="61">
        <v>49</v>
      </c>
      <c r="X17" s="61">
        <v>50</v>
      </c>
      <c r="Y17" s="61">
        <v>51</v>
      </c>
      <c r="Z17" s="61">
        <v>52</v>
      </c>
      <c r="AA17" s="84">
        <v>53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47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47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47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47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47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7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47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47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47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47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47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47" ht="15.75" customHeight="1" x14ac:dyDescent="0.25">
      <c r="A30" s="78" t="s">
        <v>57</v>
      </c>
      <c r="B30" s="63"/>
      <c r="C30" s="63"/>
      <c r="D30" s="13">
        <f>ABS(PV(N8,1,0,E30))</f>
        <v>281714.02837941359</v>
      </c>
      <c r="E30" s="13">
        <f>ABS(PV(N8,1,0,F30))</f>
        <v>302138.29543692106</v>
      </c>
      <c r="F30" s="13">
        <f>ABS(PV(N8,1,0,G30))</f>
        <v>324043.32185609784</v>
      </c>
      <c r="G30" s="13">
        <f>ABS(PV(N8,1,0,H30))</f>
        <v>347536.46269066492</v>
      </c>
      <c r="H30" s="13">
        <f>ABS(PV(N8,1,0,I30))</f>
        <v>372732.85623573815</v>
      </c>
      <c r="I30" s="13">
        <f>ABS(PV(N8,1,0,J30))</f>
        <v>399755.98831282917</v>
      </c>
      <c r="J30" s="13">
        <f>ABS(PV(N8,1,0,K30))</f>
        <v>428738.29746550927</v>
      </c>
      <c r="K30" s="13">
        <f>ABS(PV(N8,1,0,L30))</f>
        <v>459821.8240317587</v>
      </c>
      <c r="L30" s="13">
        <f>ABS(PV(N8,1,0,M30))</f>
        <v>493158.90627406118</v>
      </c>
      <c r="M30" s="13">
        <f>ABS(PV(N8,1,0,N30))</f>
        <v>528912.9269789306</v>
      </c>
      <c r="N30" s="13">
        <f>ABS(PV(N8,1,0,O30))</f>
        <v>567259.1141849031</v>
      </c>
      <c r="O30" s="13">
        <f>ABS(PV(N8,1,0,P30))</f>
        <v>608385.39996330859</v>
      </c>
      <c r="P30" s="13">
        <f>ABS(PV(N8,1,0,Q30))</f>
        <v>652493.34146064846</v>
      </c>
      <c r="Q30" s="13">
        <f>ABS(PV(N8,1,0,R30))</f>
        <v>699799.10871654551</v>
      </c>
      <c r="R30" s="13">
        <f>ABS(PV(N8,1,0,S30))</f>
        <v>750534.54409849504</v>
      </c>
      <c r="S30" s="13">
        <f>ABS(PV(N8,1,0,T30))</f>
        <v>804948.29854563589</v>
      </c>
      <c r="T30" s="13">
        <f>ABS(PV(N8,1,0,U30))</f>
        <v>863307.05019019451</v>
      </c>
      <c r="U30" s="13">
        <f>ABS(PV(N8,1,0,V30))</f>
        <v>925896.81132898363</v>
      </c>
      <c r="V30" s="13">
        <f>ABS(PV(N8,1,0,W30))</f>
        <v>993024.33015033498</v>
      </c>
      <c r="W30" s="13">
        <f>ABS(PV(N8,1,0,X30))</f>
        <v>1065018.5940862342</v>
      </c>
      <c r="X30" s="13">
        <f>ABS(PV(N8,1,0,Y30))</f>
        <v>1142232.4421574862</v>
      </c>
      <c r="Y30" s="13">
        <f>ABS(PV(N8,1,0,Z30))</f>
        <v>1225044.2942139041</v>
      </c>
      <c r="Z30" s="13">
        <f>ABS(PV(N8,1,0,AA30))</f>
        <v>1313860.0055444122</v>
      </c>
      <c r="AA30" s="73">
        <f t="array" ref="AA30">NPV(N9,D42:AT42)</f>
        <v>1409114.855946382</v>
      </c>
      <c r="AB30" s="63"/>
      <c r="AC30" s="14"/>
    </row>
    <row r="31" spans="1:47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47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NPV(N9,0,0,0,0,0,0,0,0,0,0,0,0,0,0,0,0,0,0,0,0,0,0,M54:AT54)</f>
        <v>157296.04717415044</v>
      </c>
      <c r="O32" s="22">
        <f t="array" ref="O32">NPV(N9,0,0,0,0,0,0,0,0,0,0,0,0,0,0,0,0,0,0,0,0,0,M53:AT53)</f>
        <v>184486.9921614498</v>
      </c>
      <c r="P32" s="22">
        <f t="array" ref="P32">NPV(N9,0,0,0,0,0,0,0,0,0,0,0,0,0,0,0,0,0,0,0,0,M52:AT52)</f>
        <v>214478.42271459644</v>
      </c>
      <c r="Q32" s="22">
        <f t="array" ref="Q32">NPV(N9,0,0,0,0,0,0,0,0,0,0,0,0,0,0,0,0,0,0,0,M51:AT51)</f>
        <v>247490.77552265726</v>
      </c>
      <c r="R32" s="22">
        <f t="array" ref="R32">NPV(N9,0,0,0,0,0,0,0,0,0,0,0,0,0,0,0,0,0,0,M50:AT50)</f>
        <v>286034.39259833877</v>
      </c>
      <c r="S32" s="22">
        <f t="array" ref="S32">NPV(N9,0,0,0,0,0,0,0,0,0,0,0,0,0,0,0,0,0,M49:AT49)</f>
        <v>336909.73867605976</v>
      </c>
      <c r="T32" s="22">
        <f t="array" ref="T32">NPV(N9,0,0,0,0,0,0,0,0,0,0,0,0,0,0,0,0,,M48:AT48)</f>
        <v>384050.28271295421</v>
      </c>
      <c r="U32" s="21">
        <f t="array" ref="U32">NPV(N9,0,0,0,0,0,0,0,0,0,0,0,0,0,0,0,M47:AT47)</f>
        <v>455233.17442237691</v>
      </c>
      <c r="V32" s="22">
        <f t="array" ref="V32">NPV(N9,0,0,0,0,0,0,0,0,0,0,0,0,0,0,M46:AT46)</f>
        <v>513674.56406268914</v>
      </c>
      <c r="W32" s="22">
        <f t="array" ref="W32">NPV(N9,0,0,0,0,0,0,0,0,0,0,0,0,0,M45:AT45)</f>
        <v>577542.14626441605</v>
      </c>
      <c r="X32" s="23"/>
      <c r="Y32" s="13"/>
      <c r="Z32" s="13"/>
      <c r="AA32" s="13"/>
    </row>
    <row r="33" spans="1:66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66" ht="15.75" customHeight="1" x14ac:dyDescent="0.2">
      <c r="A34" s="88" t="s">
        <v>60</v>
      </c>
      <c r="B34" s="63"/>
      <c r="C34" s="63"/>
      <c r="D34" s="13">
        <f t="shared" ref="D34:M34" si="5">D31-D30</f>
        <v>-274085.49837941356</v>
      </c>
      <c r="E34" s="13">
        <f t="shared" si="5"/>
        <v>-285949.26543692104</v>
      </c>
      <c r="F34" s="13">
        <f t="shared" si="5"/>
        <v>-298405.76185609784</v>
      </c>
      <c r="G34" s="13">
        <f t="shared" si="5"/>
        <v>-312450.3726906649</v>
      </c>
      <c r="H34" s="13">
        <f t="shared" si="5"/>
        <v>-328198.23623573815</v>
      </c>
      <c r="I34" s="13">
        <f t="shared" si="5"/>
        <v>-345772.83831282915</v>
      </c>
      <c r="J34" s="13">
        <f t="shared" si="5"/>
        <v>-364645.56746550929</v>
      </c>
      <c r="K34" s="13">
        <f t="shared" si="5"/>
        <v>-385619.51403175871</v>
      </c>
      <c r="L34" s="13">
        <f t="shared" si="5"/>
        <v>-408847.01627406117</v>
      </c>
      <c r="M34" s="13">
        <f t="shared" si="5"/>
        <v>-434491.45697893063</v>
      </c>
      <c r="X34" s="15"/>
      <c r="Y34" s="15"/>
      <c r="Z34" s="15"/>
      <c r="AA34" s="15"/>
    </row>
    <row r="35" spans="1:66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-409963.06701075262</v>
      </c>
      <c r="O35" s="13">
        <f t="shared" si="6"/>
        <v>-423898.40780185879</v>
      </c>
      <c r="P35" s="13">
        <f t="shared" si="6"/>
        <v>-438014.91874605202</v>
      </c>
      <c r="Q35" s="13">
        <f t="shared" si="6"/>
        <v>-452308.33319388825</v>
      </c>
      <c r="R35" s="13">
        <f t="shared" si="6"/>
        <v>-464500.15150015627</v>
      </c>
      <c r="S35" s="13">
        <f t="shared" si="6"/>
        <v>-468038.55986957613</v>
      </c>
      <c r="T35" s="13">
        <f t="shared" si="6"/>
        <v>-479256.7674772403</v>
      </c>
      <c r="U35" s="13">
        <f t="shared" si="6"/>
        <v>-470663.63690660673</v>
      </c>
      <c r="V35" s="13">
        <f t="shared" si="6"/>
        <v>-479349.76608764584</v>
      </c>
      <c r="W35" s="13">
        <f t="shared" si="6"/>
        <v>-487476.44782181818</v>
      </c>
      <c r="X35" s="15"/>
      <c r="Y35" s="15"/>
      <c r="Z35" s="15"/>
      <c r="AA35" s="77" t="s">
        <v>62</v>
      </c>
      <c r="AB35" s="63"/>
    </row>
    <row r="36" spans="1:66" ht="15.75" customHeight="1" x14ac:dyDescent="0.2">
      <c r="A36" s="63"/>
      <c r="B36" s="63"/>
      <c r="C36" s="63"/>
      <c r="AA36" s="63"/>
      <c r="AB36" s="63"/>
    </row>
    <row r="37" spans="1:66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66" ht="15.75" customHeight="1" x14ac:dyDescent="0.2"/>
    <row r="39" spans="1:66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66" ht="15.75" customHeight="1" x14ac:dyDescent="0.2">
      <c r="A40" s="87" t="s">
        <v>45</v>
      </c>
      <c r="B40" s="63"/>
      <c r="C40" s="63"/>
      <c r="D40" s="11">
        <v>53</v>
      </c>
      <c r="E40" s="11">
        <v>54</v>
      </c>
      <c r="F40" s="60">
        <v>55</v>
      </c>
      <c r="G40" s="60">
        <v>56</v>
      </c>
      <c r="H40" s="60">
        <v>57</v>
      </c>
      <c r="I40" s="60">
        <v>58</v>
      </c>
      <c r="J40" s="60">
        <v>59</v>
      </c>
      <c r="K40" s="60">
        <v>60</v>
      </c>
      <c r="L40" s="60">
        <v>61</v>
      </c>
      <c r="M40" s="60">
        <v>62</v>
      </c>
      <c r="N40" s="60">
        <v>63</v>
      </c>
      <c r="O40" s="60">
        <v>64</v>
      </c>
      <c r="P40" s="60">
        <v>65</v>
      </c>
      <c r="Q40" s="60">
        <v>66</v>
      </c>
      <c r="R40" s="60">
        <v>67</v>
      </c>
      <c r="S40" s="60">
        <v>68</v>
      </c>
      <c r="T40" s="60">
        <v>69</v>
      </c>
      <c r="U40" s="60">
        <v>70</v>
      </c>
      <c r="V40" s="60">
        <v>71</v>
      </c>
      <c r="W40" s="60">
        <v>72</v>
      </c>
      <c r="X40" s="60">
        <v>73</v>
      </c>
      <c r="Y40" s="60">
        <v>74</v>
      </c>
      <c r="Z40" s="60">
        <v>75</v>
      </c>
      <c r="AA40" s="60">
        <v>76</v>
      </c>
      <c r="AB40" s="60">
        <v>77</v>
      </c>
      <c r="AC40" s="60">
        <v>78</v>
      </c>
      <c r="AD40" s="60">
        <v>79</v>
      </c>
      <c r="AE40" s="60">
        <v>80</v>
      </c>
      <c r="AF40" s="60">
        <v>81</v>
      </c>
      <c r="AG40" s="60">
        <v>82</v>
      </c>
      <c r="AH40" s="60">
        <v>83</v>
      </c>
      <c r="AI40" s="60">
        <v>84</v>
      </c>
      <c r="AJ40" s="60">
        <v>85</v>
      </c>
      <c r="AK40" s="60">
        <v>86</v>
      </c>
      <c r="AL40" s="60">
        <v>87</v>
      </c>
      <c r="AM40" s="60">
        <v>88</v>
      </c>
      <c r="AN40" s="60">
        <v>89</v>
      </c>
      <c r="AO40" s="60">
        <v>90</v>
      </c>
      <c r="AP40" s="60">
        <v>91</v>
      </c>
      <c r="AQ40" s="60">
        <v>92</v>
      </c>
      <c r="AR40" s="60">
        <v>93</v>
      </c>
      <c r="AS40" s="60">
        <v>94</v>
      </c>
      <c r="AT40" s="60">
        <v>95</v>
      </c>
      <c r="AU40" s="27"/>
      <c r="AV40" s="27"/>
      <c r="AW40" s="27"/>
      <c r="AX40" s="27"/>
      <c r="AY40" s="27"/>
      <c r="AZ40" s="27"/>
      <c r="BA40" s="27"/>
      <c r="BB40" s="27"/>
      <c r="BC40" s="27"/>
    </row>
    <row r="41" spans="1:66" ht="15.75" customHeight="1" x14ac:dyDescent="0.2">
      <c r="A41" s="78" t="s">
        <v>65</v>
      </c>
      <c r="B41" s="63"/>
      <c r="C41" s="63"/>
      <c r="D41" s="14">
        <f>IF(N12&lt;=D40,0,AA19)</f>
        <v>76429.183999999994</v>
      </c>
      <c r="E41" s="14">
        <f>IF(N12&lt;=E40,0,AA19)</f>
        <v>76429.183999999994</v>
      </c>
      <c r="F41" s="14">
        <f>IF(N12&lt;=F40,0,AA19)</f>
        <v>76429.183999999994</v>
      </c>
      <c r="G41" s="14">
        <f>IF(N12&lt;=G40,0,AA19)</f>
        <v>76429.183999999994</v>
      </c>
      <c r="H41" s="14">
        <f>IF(N12&lt;=H40,0,AA19)</f>
        <v>76429.183999999994</v>
      </c>
      <c r="I41" s="22">
        <f>IF(N12&lt;=I40,0,AA19)</f>
        <v>76429.183999999994</v>
      </c>
      <c r="J41" s="22">
        <f>IF(N12&lt;=J40,0,AA19)</f>
        <v>76429.183999999994</v>
      </c>
      <c r="K41" s="22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8">
        <f>IF(N12&lt;=AC40,0,AA19)</f>
        <v>76429.183999999994</v>
      </c>
      <c r="AD41" s="28">
        <f>IF(N12&lt;=AD40,0,AA19)</f>
        <v>76429.183999999994</v>
      </c>
      <c r="AE41" s="28">
        <f>IF(N12&lt;=AE40,0,AA19)</f>
        <v>76429.183999999994</v>
      </c>
      <c r="AF41" s="28">
        <f>IF(N12&lt;=AF40,0,AA19)</f>
        <v>76429.183999999994</v>
      </c>
      <c r="AG41" s="28">
        <f>IF(N12&lt;=AG40,0,AA19)</f>
        <v>76429.183999999994</v>
      </c>
      <c r="AH41" s="28">
        <f>IF(N12&lt;=AH40,0,AA19)</f>
        <v>76429.183999999994</v>
      </c>
      <c r="AI41" s="28">
        <f>IF(N12&lt;=AI40,0,AA19)</f>
        <v>76429.183999999994</v>
      </c>
      <c r="AJ41" s="28">
        <f>IF(N12&lt;=AJ40,0,AA19)</f>
        <v>76429.183999999994</v>
      </c>
      <c r="AK41" s="28">
        <f>IF(N12&lt;=AK40,0,AA19)</f>
        <v>76429.183999999994</v>
      </c>
      <c r="AL41" s="28">
        <f>IF(N12&lt;=AL40,0,AA19)</f>
        <v>76429.183999999994</v>
      </c>
      <c r="AM41" s="28">
        <f>IF(N12&lt;=AM40,0,AA19)</f>
        <v>0</v>
      </c>
      <c r="AN41" s="28">
        <f>IF(N12&lt;=AN40,0,AA19)</f>
        <v>0</v>
      </c>
      <c r="AO41" s="28">
        <f>IF(N12&lt;=AO40,0,AA19)</f>
        <v>0</v>
      </c>
      <c r="AP41" s="28">
        <f>IF(N12&lt;=AP40,0,AA19)</f>
        <v>0</v>
      </c>
      <c r="AQ41" s="28">
        <f>IF(N12&lt;=AQ40,0,AA19)</f>
        <v>0</v>
      </c>
      <c r="AR41" s="28">
        <f>IF(N12&lt;=AR40,0,AA19)</f>
        <v>0</v>
      </c>
      <c r="AS41" s="28">
        <f>IF(N12&lt;=AS40,0,AA19)</f>
        <v>0</v>
      </c>
      <c r="AT41" s="22">
        <f>IF(N12&lt;=AT40,0,AA19)</f>
        <v>0</v>
      </c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66" ht="15.75" customHeight="1" x14ac:dyDescent="0.2">
      <c r="A42" s="78" t="s">
        <v>66</v>
      </c>
      <c r="B42" s="63"/>
      <c r="C42" s="63"/>
      <c r="D42" s="14">
        <f>IF(N12&lt;=D40,0,AA19)</f>
        <v>76429.183999999994</v>
      </c>
      <c r="E42" s="14">
        <f>IF(N12&lt;=E40,0,D42*(1-N11+N10))</f>
        <v>75053.458687999999</v>
      </c>
      <c r="F42" s="14">
        <f>IF(N12&lt;=F40,0,E42*(1-N11+N10))</f>
        <v>73702.496431616004</v>
      </c>
      <c r="G42" s="14">
        <f>IF(N12&lt;=G40,0,F42*(1-N11+N10))</f>
        <v>72375.851495846917</v>
      </c>
      <c r="H42" s="14">
        <f>IF(N12&lt;=H40,0,G42*(1-N11+N10))</f>
        <v>71073.086168921669</v>
      </c>
      <c r="I42" s="14">
        <f>IF(N12&lt;=I40,0,H42*(1-N11+N10))</f>
        <v>69793.770617881077</v>
      </c>
      <c r="J42" s="14">
        <f>IF(N12&lt;=J40,0,I42*(1-N11+N10))</f>
        <v>68537.482746759211</v>
      </c>
      <c r="K42" s="14">
        <f>IF(N12&lt;=K40,0,J42*(1-N11+N10))</f>
        <v>67303.808057317539</v>
      </c>
      <c r="L42" s="14">
        <f>IF(N12&lt;=L40,0,K42*(1-N11+N10))</f>
        <v>66092.33951228582</v>
      </c>
      <c r="M42" s="14">
        <f>IF(N12&lt;=M40,0,L42*(1-N11+N10))</f>
        <v>64902.677401064677</v>
      </c>
      <c r="N42" s="14">
        <f>IF(N12&lt;=N40,0,M42*(1-N11+N10))</f>
        <v>63734.429207845511</v>
      </c>
      <c r="O42" s="14">
        <f>IF(N12&lt;=O40,0,N42*(1-N11+N10))</f>
        <v>62587.209482104292</v>
      </c>
      <c r="P42" s="14">
        <f>IF(N12&lt;=P40,0,O42*(1-N11+N10))</f>
        <v>61460.639711426411</v>
      </c>
      <c r="Q42" s="14">
        <f>IF(N12&lt;=Q40,0,P42*(1-N11+N10))</f>
        <v>60354.348196620733</v>
      </c>
      <c r="R42" s="14">
        <f>IF(N12&lt;=R40,0,Q42*(1-N11+N10))</f>
        <v>59267.969929081555</v>
      </c>
      <c r="S42" s="14">
        <f>IF(N12&lt;=S40,0,R42*(1-N11+N10))</f>
        <v>58201.146470358086</v>
      </c>
      <c r="T42" s="14">
        <f>IF(N12&lt;=T40,0,S42*(1-N11+N10))</f>
        <v>57153.525833891639</v>
      </c>
      <c r="U42" s="14">
        <f>IF(N12&lt;=U40,0,T42*(1-N11+N10))</f>
        <v>56124.762368881587</v>
      </c>
      <c r="V42" s="14">
        <f>IF(N12&lt;=V40,0,U42*(1-N11+N10))</f>
        <v>55114.516646241718</v>
      </c>
      <c r="W42" s="14">
        <f>IF(N12&lt;=W40,0,V42*(1-N11+N10))</f>
        <v>54122.455346609364</v>
      </c>
      <c r="X42" s="14">
        <f>IF(N12&lt;=X40,0,W42*(1-N11+N10))</f>
        <v>53148.251150370394</v>
      </c>
      <c r="Y42" s="14">
        <f>IF(N12&lt;=Y40,0,X42*(1-N11+N10))</f>
        <v>52191.582629663724</v>
      </c>
      <c r="Z42" s="14">
        <f>IF(N12&lt;=Z40,0,Y42*(1-N11+N10))</f>
        <v>51252.134142329778</v>
      </c>
      <c r="AA42" s="14">
        <f>IF(N12&lt;=AA40,0,Z42*(1-N11+N10))</f>
        <v>50329.595727767839</v>
      </c>
      <c r="AB42" s="14">
        <f>IF(N12&lt;=AB40,0,AA42*(1-N11+N10))</f>
        <v>49423.663004668015</v>
      </c>
      <c r="AC42" s="28">
        <f>IF(N12&lt;=AC40,0,AB42*(1-N11+N10))</f>
        <v>48534.037070583989</v>
      </c>
      <c r="AD42" s="28">
        <f>IF(N12&lt;=AD40,0,AC42*(1-N11+N10))</f>
        <v>47660.424403313475</v>
      </c>
      <c r="AE42" s="30">
        <f>IF(N12&lt;=AE40,0,AD42*(1-N11+N10))</f>
        <v>46802.536764053832</v>
      </c>
      <c r="AF42" s="28">
        <f>IF(N12&lt;=AF40,0,AE42*(1-N11+N10))</f>
        <v>45960.091102300859</v>
      </c>
      <c r="AG42" s="28">
        <f>IF(N12&lt;=AG40,0,AF42*(1-N11+N10))</f>
        <v>45132.809462459445</v>
      </c>
      <c r="AH42" s="28">
        <f>IF(N12&lt;=AH40,0,AG42*(1-N11+N10))</f>
        <v>44320.418892135174</v>
      </c>
      <c r="AI42" s="28">
        <f>IF(N12&lt;=AI40,0,AH42*(1-N11+N10))</f>
        <v>43522.65135207674</v>
      </c>
      <c r="AJ42" s="28">
        <f>IF(N12&lt;=AJ40,0,AI42*(1-N11+N10))</f>
        <v>42739.243627739357</v>
      </c>
      <c r="AK42" s="28">
        <f>IF(N12&lt;=AK40,0,AJ42*(1-N11+N10))</f>
        <v>41969.93724244005</v>
      </c>
      <c r="AL42" s="28">
        <f>IF(N12&lt;=AL40,0,AK42*(1-N11+N10))</f>
        <v>41214.478372076126</v>
      </c>
      <c r="AM42" s="28">
        <f>IF(N12&lt;=AM40,0,AL42*(1-N11+N10))</f>
        <v>0</v>
      </c>
      <c r="AN42" s="28">
        <f>IF(N12&lt;=AN40,0,AM42*(1-N11+N10))</f>
        <v>0</v>
      </c>
      <c r="AO42" s="28">
        <f>IF(N12&lt;=AO40,0,AN42*(1-N11+N10))</f>
        <v>0</v>
      </c>
      <c r="AP42" s="28">
        <f>IF(N12&lt;=AP40,0,AO42*(1-N11+N10))</f>
        <v>0</v>
      </c>
      <c r="AQ42" s="28">
        <f>IF(N12&lt;=AQ40,0,AP42*(1-N11+N10))</f>
        <v>0</v>
      </c>
      <c r="AR42" s="28">
        <f>IF(N12&lt;=AR40,0,AQ42*(1-N11+N10))</f>
        <v>0</v>
      </c>
      <c r="AS42" s="28">
        <f>IF(N12&lt;=AS40,0,AR42*(1-N11+N10))</f>
        <v>0</v>
      </c>
      <c r="AT42" s="28">
        <f>IF(N12&lt;=AT40,0,AS42*(1-N11+N10))</f>
        <v>0</v>
      </c>
      <c r="AU42" s="31"/>
      <c r="AV42" s="31"/>
      <c r="AW42" s="31"/>
      <c r="AX42" s="31"/>
      <c r="AY42" s="31"/>
      <c r="AZ42" s="31"/>
      <c r="BA42" s="31"/>
      <c r="BB42" s="31"/>
      <c r="BC42" s="31"/>
    </row>
    <row r="43" spans="1:66" ht="15.75" customHeight="1" x14ac:dyDescent="0.2">
      <c r="A43" s="65"/>
      <c r="B43" s="63"/>
      <c r="C43" s="6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32"/>
      <c r="AV43" s="32"/>
      <c r="AW43" s="32"/>
      <c r="AX43" s="32"/>
      <c r="AY43" s="32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</row>
    <row r="44" spans="1:66" ht="15.75" customHeight="1" x14ac:dyDescent="0.25">
      <c r="A44" s="33" t="s">
        <v>67</v>
      </c>
      <c r="B44" s="33" t="s">
        <v>17</v>
      </c>
      <c r="C44" s="33" t="s">
        <v>68</v>
      </c>
      <c r="M44" s="75" t="s">
        <v>69</v>
      </c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35"/>
      <c r="AA44" s="36"/>
      <c r="AP44" s="37"/>
      <c r="AQ44" s="37"/>
      <c r="AR44" s="37"/>
      <c r="AS44" s="37"/>
      <c r="AT44" s="37"/>
      <c r="AU44" s="38"/>
      <c r="AV44" s="38"/>
      <c r="AW44" s="38"/>
    </row>
    <row r="45" spans="1:66" ht="15.75" customHeight="1" x14ac:dyDescent="0.2">
      <c r="A45" s="39">
        <v>19</v>
      </c>
      <c r="B45" s="40">
        <f>(A45*N7)</f>
        <v>0.60799999999999998</v>
      </c>
      <c r="C45" s="41">
        <f>(((LARGE(M19:V19,1))+(LARGE(M19:V19,2))+(LARGE(M19:V19,3)))/3)*(B45)</f>
        <v>63137.152000000002</v>
      </c>
      <c r="M45" s="21">
        <f t="array" ref="M45">IF(N12&lt;=M40,0,NPV((N11-N10),0,0,0,0,0,0,0,0,0,0,0,0,0,C45))</f>
        <v>49183.122311792489</v>
      </c>
      <c r="N45" s="13">
        <f>IF(N12&lt;=N40,0,M45*(1-N11+N10))</f>
        <v>48297.82611018022</v>
      </c>
      <c r="O45" s="13">
        <f>IF(N12&lt;=O40,0,N45*(1-N11+N10))</f>
        <v>47428.465240196972</v>
      </c>
      <c r="P45" s="13">
        <f>IF(N12&lt;=P40,0,O45*(1-N11+N10))</f>
        <v>46574.752865873423</v>
      </c>
      <c r="Q45" s="13">
        <f>IF(N12&lt;=Q40,0,P45*(1-N11+N10))</f>
        <v>45736.407314287702</v>
      </c>
      <c r="R45" s="13">
        <f>IF(N12&lt;=R40,0,Q45*(1-N11+N10))</f>
        <v>44913.151982630523</v>
      </c>
      <c r="S45" s="13">
        <f>IF(N12&lt;=S40,0,R45*(1-N11+N10))</f>
        <v>44104.715246943175</v>
      </c>
      <c r="T45" s="13">
        <f>IF(N12&lt;=T40,0,S45*(1-N11+N10))</f>
        <v>43310.830372498196</v>
      </c>
      <c r="U45" s="13">
        <f>IF(N12&lt;=U40,0,T45*(1-N11+N10))</f>
        <v>42531.235425793231</v>
      </c>
      <c r="V45" s="13">
        <f>IF(N12&lt;=V40,0,U45*(1-N11+N10))</f>
        <v>41765.673188128952</v>
      </c>
      <c r="W45" s="13">
        <f>IF(N12&lt;=W40,0,V45*(1-N11+N10))</f>
        <v>41013.891070742633</v>
      </c>
      <c r="X45" s="13">
        <f>IF(N12&lt;=X40,0,W45*(1-N11+N10))</f>
        <v>40275.641031469262</v>
      </c>
      <c r="Y45" s="13">
        <f>IF(N12&lt;=Y40,0,X45*(1-N11+N10))</f>
        <v>39550.679492902818</v>
      </c>
      <c r="Z45" s="13">
        <f>IF(N12&lt;=Z40,0,Y45*(1-N11+N10))</f>
        <v>38838.767262030568</v>
      </c>
      <c r="AA45" s="13">
        <f>IF(N12&lt;=AA40,0,Z45*(1-N11+N10))</f>
        <v>38139.669451314017</v>
      </c>
      <c r="AB45" s="13">
        <f>IF(N12&lt;=AB40,0,AA45*(1-N11+N10))</f>
        <v>37453.155401190365</v>
      </c>
      <c r="AC45" s="13">
        <f>IF(N12&lt;=AC40,0,AB45*(1-N11+N10))</f>
        <v>36778.998603968939</v>
      </c>
      <c r="AD45" s="13">
        <f>IF(N12&lt;=AD40,0,AC45*(1-N11+N10))</f>
        <v>36116.976629097495</v>
      </c>
      <c r="AE45" s="13">
        <f>IF(N12&lt;=AE40,0,AD45*(1-N11+N10))</f>
        <v>35466.871049773741</v>
      </c>
      <c r="AF45" s="13">
        <f>IF(N12&lt;=AF40,0,AE45*(1-N11+N10))</f>
        <v>34828.467370877814</v>
      </c>
      <c r="AG45" s="13">
        <f>IF(N12&lt;=AG40,0,AF45*(1-N11+N10))</f>
        <v>34201.55495820201</v>
      </c>
      <c r="AH45" s="13">
        <f>IF(N12&lt;=AH40,0,AG45*(1-N11+N10))</f>
        <v>33585.926968954373</v>
      </c>
      <c r="AI45" s="13">
        <f>IF(N12&lt;=AI40,0,AH45*(1-N11+N10))</f>
        <v>32981.380283513194</v>
      </c>
      <c r="AJ45" s="13">
        <f>IF(N12&lt;=AJ40,0,AI45*(1-N11+N10))</f>
        <v>32387.715438409956</v>
      </c>
      <c r="AK45" s="13">
        <f>IF(N12&lt;=AK40,0,AJ45*(1-N11+N10))</f>
        <v>31804.736560518577</v>
      </c>
      <c r="AL45" s="13">
        <f>IF(N12&lt;=AL40,0,AK45*(1-N11+N10))</f>
        <v>31232.251302429242</v>
      </c>
      <c r="AM45" s="13">
        <f>IF(N12&lt;=AM40,0,AL45*(1-N11+N10))</f>
        <v>0</v>
      </c>
      <c r="AN45" s="13">
        <f>IF(N12&lt;=AN40,0,AM45*(1-N11+N10))</f>
        <v>0</v>
      </c>
      <c r="AO45" s="13">
        <f>IF(N12&lt;=AO40,0,AN45*(1-N11+N10))</f>
        <v>0</v>
      </c>
      <c r="AP45" s="13">
        <f>IF(N12&lt;=AP40,0,AO45*(1-N11+N10))</f>
        <v>0</v>
      </c>
      <c r="AQ45" s="13">
        <f>IF(N12&lt;=AQ40,0,AP45*(1-N11+N10))</f>
        <v>0</v>
      </c>
      <c r="AR45" s="13">
        <f>IF(N12&lt;=AR40,0,AQ45*(1-N11+N10))</f>
        <v>0</v>
      </c>
      <c r="AS45" s="13">
        <f>IF(N12&lt;=AS40,0,AR45*(1-N11+N10))</f>
        <v>0</v>
      </c>
      <c r="AT45" s="13">
        <f>IF(N12&lt;=AT40,0,AS45*(1-N11+N10))</f>
        <v>0</v>
      </c>
      <c r="AU45" s="13"/>
      <c r="AV45" s="13"/>
      <c r="AW45" s="13"/>
      <c r="AX45" s="13"/>
      <c r="AY45" s="13"/>
    </row>
    <row r="46" spans="1:66" ht="15.75" customHeight="1" x14ac:dyDescent="0.2">
      <c r="A46" s="39">
        <v>18</v>
      </c>
      <c r="B46" s="40">
        <f>(A46*N7)</f>
        <v>0.57600000000000007</v>
      </c>
      <c r="C46" s="41">
        <f>(((LARGE(L19:U19,1))+(LARGE(L19:U19,2))+(LARGE(L19:U19,3)))/3)*(B46)</f>
        <v>58509.312000000013</v>
      </c>
      <c r="M46" s="21">
        <f t="array" ref="M46">IF(N12&lt;=M40,0,NPV((N11-N10),0,0,0,0,0,0,0,0,0,0,0,0,0,0,C46))</f>
        <v>44772.188271370083</v>
      </c>
      <c r="N46" s="13">
        <f>IF(N12&lt;=N40,0,M46*(1-N11+N10))</f>
        <v>43966.288882485424</v>
      </c>
      <c r="O46" s="13">
        <f>IF(N12&lt;=O40,0,N46*(1-N11+N10))</f>
        <v>43174.895682600683</v>
      </c>
      <c r="P46" s="13">
        <f>IF(N12&lt;=P40,0,O46*(1-N11+N10))</f>
        <v>42397.747560313874</v>
      </c>
      <c r="Q46" s="13">
        <f>IF(N12&lt;=Q40,0,P46*(1-N11+N10))</f>
        <v>41634.58810422822</v>
      </c>
      <c r="R46" s="13">
        <f>IF(N12&lt;=R40,0,Q46*(1-N11+N10))</f>
        <v>40885.165518352114</v>
      </c>
      <c r="S46" s="13">
        <f>IF(N12&lt;=S40,0,R46*(1-N11+N10))</f>
        <v>40149.232539021774</v>
      </c>
      <c r="T46" s="13">
        <f>IF(N12&lt;=T40,0,S46*(1-N11+N10))</f>
        <v>39426.546353319383</v>
      </c>
      <c r="U46" s="13">
        <f>IF(N12&lt;=U40,0,T46*(1-N11+N10))</f>
        <v>38716.868518959636</v>
      </c>
      <c r="V46" s="13">
        <f>IF(N12&lt;=V40,0,U46*(1-N11+N10))</f>
        <v>38019.964885618363</v>
      </c>
      <c r="W46" s="13">
        <f>IF(N12&lt;=W40,0,V46*(1-N11+N10))</f>
        <v>37335.605517677235</v>
      </c>
      <c r="X46" s="13">
        <f>IF(N12&lt;=X40,0,W46*(1-N11+N10))</f>
        <v>36663.564618359043</v>
      </c>
      <c r="Y46" s="13">
        <f>IF(N12&lt;=Y40,0,X46*(1-N11+N10))</f>
        <v>36003.620455228578</v>
      </c>
      <c r="Z46" s="13">
        <f>IF(N12&lt;=Z40,0,Y46*(1-N11+N10))</f>
        <v>35355.555287034462</v>
      </c>
      <c r="AA46" s="13">
        <f>IF(N12&lt;=AA40,0,Z46*(1-N11+N10))</f>
        <v>34719.155291867843</v>
      </c>
      <c r="AB46" s="13">
        <f>IF(N12&lt;=AB40,0,AA46*(1-N11+N10))</f>
        <v>34094.210496614221</v>
      </c>
      <c r="AC46" s="13">
        <f>IF(N12&lt;=AC40,0,AB46*(1-N11+N10))</f>
        <v>33480.514707675167</v>
      </c>
      <c r="AD46" s="13">
        <f>IF(N12&lt;=AD40,0,AC46*(1-N11+N10))</f>
        <v>32877.865442937014</v>
      </c>
      <c r="AE46" s="13">
        <f>IF(N12&lt;=AE40,0,AD46*(1-N11+N10))</f>
        <v>32286.063864964148</v>
      </c>
      <c r="AF46" s="13">
        <f>IF(N12&lt;=AF40,0,AE46*(1-N11+N10))</f>
        <v>31704.914715394792</v>
      </c>
      <c r="AG46" s="13">
        <f>IF(N12&lt;=AG40,0,AF46*(1-N11+N10))</f>
        <v>31134.226250517684</v>
      </c>
      <c r="AH46" s="13">
        <f>IF(N12&lt;=AH40,0,AG46*(1-N11+N10))</f>
        <v>30573.810178008367</v>
      </c>
      <c r="AI46" s="13">
        <f>IF(N12&lt;=AI40,0,AH46*(1-N11+N10))</f>
        <v>30023.481594804216</v>
      </c>
      <c r="AJ46" s="13">
        <f>IF(N12&lt;=AJ40,0,AI46*(1-N11+N10))</f>
        <v>29483.058926097739</v>
      </c>
      <c r="AK46" s="13">
        <f>IF(N12&lt;=AK40,0,AJ46*(1-N11+N10))</f>
        <v>28952.363865427978</v>
      </c>
      <c r="AL46" s="13">
        <f>IF(N12&lt;=AL40,0,AK46*(1-N11+N10))</f>
        <v>28431.221315850275</v>
      </c>
      <c r="AM46" s="13">
        <f>IF(N12&lt;=AM40,0,AL46*(1-N11+N10))</f>
        <v>0</v>
      </c>
      <c r="AN46" s="13">
        <f>IF(N12&lt;=AN40,0,AM46*(1-N11+N10))</f>
        <v>0</v>
      </c>
      <c r="AO46" s="13">
        <f>IF(N12&lt;=AO40,0,AN46*(1-N11+N10))</f>
        <v>0</v>
      </c>
      <c r="AP46" s="13">
        <f>IF(N12&lt;=AP40,0,AO46*(1-N11+N10))</f>
        <v>0</v>
      </c>
      <c r="AQ46" s="13">
        <f>IF(N12&lt;=AQ40,0,AP46*(1-N11+N10))</f>
        <v>0</v>
      </c>
      <c r="AR46" s="13">
        <f>IF(N12&lt;=AR40,0,AQ46*(1-N11+N10))</f>
        <v>0</v>
      </c>
      <c r="AS46" s="13">
        <f>IF(N12&lt;=AS40,0,AR46*(1-N11+N10))</f>
        <v>0</v>
      </c>
      <c r="AT46" s="13">
        <f>IF(N12&lt;=AT40,0,AS46*(1-N11+N10))</f>
        <v>0</v>
      </c>
      <c r="AU46" s="13"/>
      <c r="AV46" s="13"/>
      <c r="AW46" s="13"/>
      <c r="AX46" s="13"/>
      <c r="AY46" s="13"/>
    </row>
    <row r="47" spans="1:66" ht="15.75" customHeight="1" x14ac:dyDescent="0.2">
      <c r="A47" s="39">
        <v>17</v>
      </c>
      <c r="B47" s="40">
        <f>(A47*N7)</f>
        <v>0.54400000000000004</v>
      </c>
      <c r="C47" s="41">
        <f>(((LARGE(K19:T19,1))+(LARGE(K19:T19,2))+(LARGE(K19:T19,3)))/3)*(B47)</f>
        <v>54026.453333333331</v>
      </c>
      <c r="M47" s="21">
        <f t="array" ref="M47">IF(N12&lt;=M40,0,NPV((N11-N10),0,0,0,0,0,0,0,0,0,0,0,0,0,0,0,C47))</f>
        <v>40610.84353554374</v>
      </c>
      <c r="N47" s="13">
        <f>IF(N12&lt;=N40,0,M47*(1-N11+N10))</f>
        <v>39879.848351903951</v>
      </c>
      <c r="O47" s="13">
        <f>IF(N12&lt;=O40,0,N47*(1-N11+N10))</f>
        <v>39162.011081569683</v>
      </c>
      <c r="P47" s="13">
        <f>IF(N12&lt;=P40,0,O47*(1-N11+N10))</f>
        <v>38457.094882101424</v>
      </c>
      <c r="Q47" s="13">
        <f>IF(N12&lt;=Q40,0,P47*(1-N11+N10))</f>
        <v>37764.867174223597</v>
      </c>
      <c r="R47" s="13">
        <f>IF(N12&lt;=R40,0,Q47*(1-N11+N10))</f>
        <v>37085.09956508757</v>
      </c>
      <c r="S47" s="13">
        <f>IF(N12&lt;=S40,0,R47*(1-N11+N10))</f>
        <v>36417.567772915994</v>
      </c>
      <c r="T47" s="13">
        <f>IF(N12&lt;=T40,0,S47*(1-N11+N10))</f>
        <v>35762.051553003505</v>
      </c>
      <c r="U47" s="13">
        <f>IF(N12&lt;=U40,0,T47*(1-N11+N10))</f>
        <v>35118.334625049443</v>
      </c>
      <c r="V47" s="13">
        <f>IF(N12&lt;=V40,0,U47*(1-N11+N10))</f>
        <v>34486.204601798556</v>
      </c>
      <c r="W47" s="13">
        <f>IF(N12&lt;=W40,0,V47*(1-N11+N10))</f>
        <v>33865.452918966184</v>
      </c>
      <c r="X47" s="13">
        <f>IF(N12&lt;=X40,0,W47*(1-N11+N10))</f>
        <v>33255.874766424793</v>
      </c>
      <c r="Y47" s="13">
        <f>IF(N12&lt;=Y40,0,X47*(1-N11+N10))</f>
        <v>32657.269020629145</v>
      </c>
      <c r="Z47" s="13">
        <f>IF(N12&lt;=Z40,0,Y47*(1-N11+N10))</f>
        <v>32069.43817825782</v>
      </c>
      <c r="AA47" s="13">
        <f>IF(N12&lt;=AA40,0,Z47*(1-N11+N10))</f>
        <v>31492.18829104918</v>
      </c>
      <c r="AB47" s="13">
        <f>IF(N12&lt;=AB40,0,AA47*(1-N11+N10))</f>
        <v>30925.328901810295</v>
      </c>
      <c r="AC47" s="13">
        <f>IF(N12&lt;=AC40,0,AB47*(1-N11+N10))</f>
        <v>30368.672981577711</v>
      </c>
      <c r="AD47" s="13">
        <f>IF(N12&lt;=AD40,0,AC47*(1-N11+N10))</f>
        <v>29822.036867909312</v>
      </c>
      <c r="AE47" s="13">
        <f>IF(N12&lt;=AE40,0,AD47*(1-N11+N10))</f>
        <v>29285.240204286943</v>
      </c>
      <c r="AF47" s="13">
        <f>IF(N12&lt;=AF40,0,AE47*(1-N11+N10))</f>
        <v>28758.105880609779</v>
      </c>
      <c r="AG47" s="13">
        <f>IF(N12&lt;=AG40,0,AF47*(1-N11+N10))</f>
        <v>28240.459974758804</v>
      </c>
      <c r="AH47" s="13">
        <f>IF(N12&lt;=AH40,0,AG47*(1-N11+N10))</f>
        <v>27732.131695213146</v>
      </c>
      <c r="AI47" s="13">
        <f>IF(N12&lt;=AI40,0,AH47*(1-N11+N10))</f>
        <v>27232.953324699309</v>
      </c>
      <c r="AJ47" s="13">
        <f>IF(N12&lt;=AJ40,0,AI47*(1-N11+N10))</f>
        <v>26742.760164854721</v>
      </c>
      <c r="AK47" s="13">
        <f>IF(N12&lt;=AK40,0,AJ47*(1-N11+N10))</f>
        <v>26261.390481887334</v>
      </c>
      <c r="AL47" s="13">
        <f>IF(N12&lt;=AL40,0,AK47*(1-N11+N10))</f>
        <v>25788.685453213362</v>
      </c>
      <c r="AM47" s="13">
        <f>IF(N12&lt;=AM40,0,AL47*(1-N11+N10))</f>
        <v>0</v>
      </c>
      <c r="AN47" s="13">
        <f>IF(N12&lt;=AN40,0,AM47*(1-N11+N10))</f>
        <v>0</v>
      </c>
      <c r="AO47" s="13">
        <f>IF(N12&lt;=AO40,0,AN47*(1-N11+N10))</f>
        <v>0</v>
      </c>
      <c r="AP47" s="13">
        <f>IF(N12&lt;=AP40,0,AO47*(1-N11+N10))</f>
        <v>0</v>
      </c>
      <c r="AQ47" s="13">
        <f>IF(N12&lt;=AQ40,0,AP47*(1-N11+N10))</f>
        <v>0</v>
      </c>
      <c r="AR47" s="13">
        <f>IF(N12&lt;=AR40,0,AQ47*(1-N11+N10))</f>
        <v>0</v>
      </c>
      <c r="AS47" s="13">
        <f>IF(N12&lt;=AS40,0,AR47*(1-N11+N10))</f>
        <v>0</v>
      </c>
      <c r="AT47" s="13">
        <f>IF(N12&lt;=AT40,0,AS47*(1-N11+N10))</f>
        <v>0</v>
      </c>
      <c r="AU47" s="13"/>
      <c r="AV47" s="13"/>
      <c r="AW47" s="13"/>
      <c r="AX47" s="13"/>
      <c r="AY47" s="13"/>
    </row>
    <row r="48" spans="1:66" ht="15.75" customHeight="1" x14ac:dyDescent="0.2">
      <c r="A48" s="39">
        <v>16</v>
      </c>
      <c r="B48" s="40">
        <f>(A48*N7)</f>
        <v>0.51200000000000001</v>
      </c>
      <c r="C48" s="41">
        <f>(((LARGE(J19:S19,1))+(LARGE(J19:S19,2))+(LARGE(J19:S19,3)))/3)*(B48)</f>
        <v>48605.354666666666</v>
      </c>
      <c r="M48" s="21">
        <f t="array" ref="M48">IF(N12&lt;=M40,0,NPV((N11-N10),0,0,0,0,0,0,0,0,0,0,0,0,0,0,0,0,C48))</f>
        <v>35889.870430966781</v>
      </c>
      <c r="N48" s="13">
        <f>IF(N12&lt;=N40,0,M48*(1-N11+N10))</f>
        <v>35243.852763209376</v>
      </c>
      <c r="O48" s="13">
        <f>IF(N12&lt;=O40,0,N48*(1-N11+N10))</f>
        <v>34609.463413471603</v>
      </c>
      <c r="P48" s="13">
        <f>IF(N12&lt;=P40,0,O48*(1-N11+N10))</f>
        <v>33986.493072029116</v>
      </c>
      <c r="Q48" s="13">
        <f>IF(N12&lt;=Q40,0,P48*(1-N11+N10))</f>
        <v>33374.736196732592</v>
      </c>
      <c r="R48" s="13">
        <f>IF(N12&lt;=R40,0,Q48*(1-N11+N10))</f>
        <v>32773.990945191406</v>
      </c>
      <c r="S48" s="13">
        <f>IF(N12&lt;=S40,0,R48*(1-N11+N10))</f>
        <v>32184.05910817796</v>
      </c>
      <c r="T48" s="13">
        <f>IF(N12&lt;=T40,0,S48*(1-N11+N10))</f>
        <v>31604.746044230757</v>
      </c>
      <c r="U48" s="13">
        <f>IF(N12&lt;=U40,0,T48*(1-N11+N10))</f>
        <v>31035.860615434602</v>
      </c>
      <c r="V48" s="13">
        <f>IF(N12&lt;=V40,0,U48*(1-N11+N10))</f>
        <v>30477.215124356779</v>
      </c>
      <c r="W48" s="13">
        <f>IF(N12&lt;=W40,0,V48*(1-N11+N10))</f>
        <v>29928.625252118356</v>
      </c>
      <c r="X48" s="13">
        <f>IF(N12&lt;=X40,0,W48*(1-N11+N10))</f>
        <v>29389.909997580224</v>
      </c>
      <c r="Y48" s="13">
        <f>IF(N12&lt;=Y40,0,X48*(1-N11+N10))</f>
        <v>28860.89161762378</v>
      </c>
      <c r="Z48" s="13">
        <f>IF(N12&lt;=Z40,0,Y48*(1-N11+N10))</f>
        <v>28341.395568506552</v>
      </c>
      <c r="AA48" s="13">
        <f>IF(N12&lt;=AA40,0,Z48*(1-N11+N10))</f>
        <v>27831.250448273433</v>
      </c>
      <c r="AB48" s="13">
        <f>IF(N12&lt;=AB40,0,AA48*(1-N11+N10))</f>
        <v>27330.287940204511</v>
      </c>
      <c r="AC48" s="13">
        <f>IF(N12&lt;=AC40,0,AB48*(1-N11+N10))</f>
        <v>26838.342757280829</v>
      </c>
      <c r="AD48" s="13">
        <f>IF(N12&lt;=AD40,0,AC48*(1-N11+N10))</f>
        <v>26355.252587649775</v>
      </c>
      <c r="AE48" s="13">
        <f>IF(N12&lt;=AE40,0,AD48*(1-N11+N10))</f>
        <v>25880.858041072079</v>
      </c>
      <c r="AF48" s="13">
        <f>IF(N12&lt;=AF40,0,AE48*(1-N11+N10))</f>
        <v>25415.002596332783</v>
      </c>
      <c r="AG48" s="13">
        <f>IF(N12&lt;=AG40,0,AF48*(1-N11+N10))</f>
        <v>24957.532549598793</v>
      </c>
      <c r="AH48" s="13">
        <f>IF(N12&lt;=AH40,0,AG48*(1-N11+N10))</f>
        <v>24508.296963706012</v>
      </c>
      <c r="AI48" s="13">
        <f>IF(N12&lt;=AI40,0,AH48*(1-N11+N10))</f>
        <v>24067.147618359304</v>
      </c>
      <c r="AJ48" s="13">
        <f>IF(N12&lt;=AJ40,0,AI48*(1-N11+N10))</f>
        <v>23633.938961228836</v>
      </c>
      <c r="AK48" s="13">
        <f>IF(N12&lt;=AK40,0,AJ48*(1-N11+N10))</f>
        <v>23208.528059926717</v>
      </c>
      <c r="AL48" s="13">
        <f>IF(N12&lt;=AL40,0,AK48*(1-N11+N10))</f>
        <v>22790.774554848034</v>
      </c>
      <c r="AM48" s="13">
        <f>IF(N12&lt;=AM40,0,AL48*(1-N11+N10))</f>
        <v>0</v>
      </c>
      <c r="AN48" s="13">
        <f>IF(N12&lt;=AN40,0,AM48*(1-N11+N10))</f>
        <v>0</v>
      </c>
      <c r="AO48" s="13">
        <f>IF(N12&lt;=AO40,0,AN48*(1-N11+N10))</f>
        <v>0</v>
      </c>
      <c r="AP48" s="13">
        <f>IF(N12&lt;=AP40,0,AO48*(1-N11+N10))</f>
        <v>0</v>
      </c>
      <c r="AQ48" s="13">
        <f>IF(N12&lt;=AQ40,0,AP48*(1-N11+N10))</f>
        <v>0</v>
      </c>
      <c r="AR48" s="13">
        <f>IF(N12&lt;=AR40,0,AQ48*(1-N11+N10))</f>
        <v>0</v>
      </c>
      <c r="AS48" s="13">
        <f>IF(N12&lt;=AS40,0,AR48*(1-N11+N10))</f>
        <v>0</v>
      </c>
      <c r="AT48" s="13">
        <f>IF(N12&lt;=AT40,0,AS48*(1-N11+N10))</f>
        <v>0</v>
      </c>
      <c r="AU48" s="13"/>
      <c r="AV48" s="13"/>
      <c r="AW48" s="13"/>
      <c r="AX48" s="13"/>
      <c r="AY48" s="13"/>
    </row>
    <row r="49" spans="1:66" ht="15.75" customHeight="1" x14ac:dyDescent="0.2">
      <c r="A49" s="39">
        <v>15</v>
      </c>
      <c r="B49" s="40">
        <f>(A49*N7)</f>
        <v>0.48</v>
      </c>
      <c r="C49" s="41">
        <f>(((LARGE(I19:R19,1))+(LARGE(I19:R19,2))+(LARGE(I19:R19,3)))/3)*(B49)</f>
        <v>43353.599999999999</v>
      </c>
      <c r="M49" s="21">
        <f t="array" ref="M49">IF(N12&lt;=M40,0,NPV((N11-N10),0,0,0,0,0,0,0,0,0,0,0,0,0,0,0,0,0,C49))</f>
        <v>31445.982057017016</v>
      </c>
      <c r="N49" s="13">
        <f>IF(N12&lt;=N40,0,M49*(1-N11+N10))</f>
        <v>30879.954379990708</v>
      </c>
      <c r="O49" s="13">
        <f>IF(N12&lt;=O40,0,N49*(1-N11+N10))</f>
        <v>30324.115201150875</v>
      </c>
      <c r="P49" s="13">
        <f>IF(N12&lt;=P40,0,O49*(1-N11+N10))</f>
        <v>29778.281127530157</v>
      </c>
      <c r="Q49" s="13">
        <f>IF(N12&lt;=Q40,0,P49*(1-N11+N10))</f>
        <v>29242.272067234615</v>
      </c>
      <c r="R49" s="13">
        <f>IF(N12&lt;=R40,0,Q49*(1-N11+N10))</f>
        <v>28715.911170024392</v>
      </c>
      <c r="S49" s="13">
        <f>IF(N12&lt;=S40,0,R49*(1-N11+N10))</f>
        <v>28199.024768963951</v>
      </c>
      <c r="T49" s="13">
        <f>IF(N12&lt;=T40,0,S49*(1-N11+N10))</f>
        <v>27691.442323122599</v>
      </c>
      <c r="U49" s="13">
        <f>IF(N12&lt;=U40,0,T49*(1-N11+N10))</f>
        <v>27192.996361306392</v>
      </c>
      <c r="V49" s="13">
        <f>IF(N12&lt;=V40,0,U49*(1-N11+N10))</f>
        <v>26703.522426802876</v>
      </c>
      <c r="W49" s="13">
        <f>IF(N12&lt;=W40,0,V49*(1-N11+N10))</f>
        <v>26222.859023120425</v>
      </c>
      <c r="X49" s="13">
        <f>IF(N12&lt;=X40,0,W49*(1-N11+N10))</f>
        <v>25750.847560704256</v>
      </c>
      <c r="Y49" s="13">
        <f>IF(N12&lt;=Y40,0,X49*(1-N11+N10))</f>
        <v>25287.33230461158</v>
      </c>
      <c r="Z49" s="13">
        <f>IF(N12&lt;=Z40,0,Y49*(1-N11+N10))</f>
        <v>24832.16032312857</v>
      </c>
      <c r="AA49" s="13">
        <f>IF(N12&lt;=AA40,0,Z49*(1-N11+N10))</f>
        <v>24385.181437312254</v>
      </c>
      <c r="AB49" s="13">
        <f>IF(N12&lt;=AB40,0,AA49*(1-N11+N10))</f>
        <v>23946.248171440635</v>
      </c>
      <c r="AC49" s="13">
        <f>IF(N12&lt;=AC40,0,AB49*(1-N11+N10))</f>
        <v>23515.215704354701</v>
      </c>
      <c r="AD49" s="13">
        <f>IF(N12&lt;=AD40,0,AC49*(1-N11+N10))</f>
        <v>23091.941821676315</v>
      </c>
      <c r="AE49" s="13">
        <f>IF(N12&lt;=AE40,0,AD49*(1-N11+N10))</f>
        <v>22676.286868886142</v>
      </c>
      <c r="AF49" s="13">
        <f>IF(N12&lt;=AF40,0,AE49*(1-N11+N10))</f>
        <v>22268.113705246189</v>
      </c>
      <c r="AG49" s="13">
        <f>IF(N12&lt;=AG40,0,AF49*(1-N11+N10))</f>
        <v>21867.287658551759</v>
      </c>
      <c r="AH49" s="13">
        <f>IF(N12&lt;=AH40,0,AG49*(1-N11+N10))</f>
        <v>21473.676480697828</v>
      </c>
      <c r="AI49" s="13">
        <f>IF(N12&lt;=AI40,0,AH49*(1-N11+N10))</f>
        <v>21087.150304045266</v>
      </c>
      <c r="AJ49" s="13">
        <f>IF(N12&lt;=AJ40,0,AI49*(1-N11+N10))</f>
        <v>20707.581598572451</v>
      </c>
      <c r="AK49" s="13">
        <f>IF(N12&lt;=AK40,0,AJ49*(1-F70+F69))</f>
        <v>20707.581598572451</v>
      </c>
      <c r="AL49" s="13">
        <f>IF(N12&lt;=AL40,0,AK49*(1-H70+H69))</f>
        <v>20707.581598572451</v>
      </c>
      <c r="AM49" s="13">
        <f>IF(N12&lt;=AM40,0,AL49*(1-H70+H69))</f>
        <v>0</v>
      </c>
      <c r="AN49" s="13">
        <f>IF(N12&lt;=AN40,0,AM49*(1-J70+J69))</f>
        <v>0</v>
      </c>
      <c r="AO49" s="13">
        <f>IF(N12&lt;=AO40,0,AN49*(1-N11+N10))</f>
        <v>0</v>
      </c>
      <c r="AP49" s="13">
        <f>IF(N12&lt;=AP40,0,AO49*(1-N11+N10))</f>
        <v>0</v>
      </c>
      <c r="AQ49" s="13">
        <f>IF(N12&lt;=AQ40,0,AP49*(1-N11+N10))</f>
        <v>0</v>
      </c>
      <c r="AR49" s="13">
        <f>IF(N12&lt;=AR40,0,AQ49*(1-N11+N10))</f>
        <v>0</v>
      </c>
      <c r="AS49" s="13">
        <f>IF(N12&lt;=AS40,0,AR49*(1-N11+N10))</f>
        <v>0</v>
      </c>
      <c r="AT49" s="13">
        <f>IF(N12&lt;=AT40,0,AS49*(1-N11+N10))</f>
        <v>0</v>
      </c>
      <c r="AU49" s="13"/>
      <c r="AV49" s="13"/>
      <c r="AW49" s="13"/>
      <c r="AX49" s="13"/>
      <c r="AY49" s="13"/>
    </row>
    <row r="50" spans="1:66" ht="15.75" customHeight="1" x14ac:dyDescent="0.2">
      <c r="A50" s="39">
        <v>14</v>
      </c>
      <c r="B50" s="40">
        <f>(A50*N7)</f>
        <v>0.44800000000000001</v>
      </c>
      <c r="C50" s="41">
        <f>(((LARGE(H19:Q19,1))+(LARGE(H19:Q19,2))+(LARGE(H19:Q19,3)))/3)*(B50)</f>
        <v>38397.034666666666</v>
      </c>
      <c r="M50" s="21">
        <f t="array" ref="M50">IF(N12&lt;=M40,0,NPV((N11-N10),0,0,0,0,0,0,0,0,0,0,0,0,0,0,0,0,0,0,C50))</f>
        <v>27358.350165056108</v>
      </c>
      <c r="N50" s="13">
        <f>IF(N12&lt;=N40,0,M50*(1-N11+N10))</f>
        <v>26865.899862085098</v>
      </c>
      <c r="O50" s="13">
        <f>IF(N12&lt;=O40,0,N50*(1-N11+N10))</f>
        <v>26382.313664567566</v>
      </c>
      <c r="P50" s="13">
        <f>IF(N12&lt;=P40,0,O50*(1-N11+N10))</f>
        <v>25907.432018605348</v>
      </c>
      <c r="Q50" s="13">
        <f>IF(N12&lt;=Q40,0,P50*(1-N11+N10))</f>
        <v>25441.098242270451</v>
      </c>
      <c r="R50" s="13">
        <f>IF(N12&lt;=R40,0,Q50*(1-N11+N10))</f>
        <v>24983.158473909582</v>
      </c>
      <c r="S50" s="13">
        <f>IF(N12&lt;=S40,0,R50*(1-N11+N10))</f>
        <v>24533.461621379207</v>
      </c>
      <c r="T50" s="13">
        <f>IF(N12&lt;=T40,0,S50*(1-N11+N10))</f>
        <v>24091.859312194381</v>
      </c>
      <c r="U50" s="13">
        <f>IF(N12&lt;=U40,0,T50*(1-N11+N10))</f>
        <v>23658.205844574881</v>
      </c>
      <c r="V50" s="13">
        <f>IF(N12&lt;=V40,0,U50*(1-N11+N10))</f>
        <v>23232.358139372533</v>
      </c>
      <c r="W50" s="13">
        <f>IF(N12&lt;=W40,0,V50*(1-N11+N10))</f>
        <v>22814.175692863828</v>
      </c>
      <c r="X50" s="13">
        <f>IF(N12&lt;=X40,0,W50*(1-N11+N10))</f>
        <v>22403.520530392278</v>
      </c>
      <c r="Y50" s="13">
        <f>IF(N12&lt;=Y40,0,X50*(1-N11+N10))</f>
        <v>22000.257160845216</v>
      </c>
      <c r="Z50" s="13">
        <f>IF(N12&lt;=Z40,0,Y50*(1-N11+N10))</f>
        <v>21604.252531950002</v>
      </c>
      <c r="AA50" s="13">
        <f>IF(N12&lt;=AA40,0,Z50*(1-N11+N10))</f>
        <v>21215.3759863749</v>
      </c>
      <c r="AB50" s="13">
        <f>IF(N12&lt;=AB40,0,AA50*(1-N11+N10))</f>
        <v>20833.499218620153</v>
      </c>
      <c r="AC50" s="13">
        <f>IF(N12&lt;=AC40,0,AB50*(1-N11+N10))</f>
        <v>20458.496232684989</v>
      </c>
      <c r="AD50" s="13">
        <f>IF(N12&lt;=AD40,0,AC50*(1-N11+N10))</f>
        <v>20090.243300496659</v>
      </c>
      <c r="AE50" s="13">
        <f>IF(N12&lt;=AE40,0,AD50*(1-N11+N10))</f>
        <v>19728.61892108772</v>
      </c>
      <c r="AF50" s="13">
        <f>IF(N12&lt;=AF40,0,AE50*(1-N11+N10))</f>
        <v>19373.503780508141</v>
      </c>
      <c r="AG50" s="13">
        <f>IF(N12&lt;=AG40,0,AF50*(1-N11+N10))</f>
        <v>19024.780712458993</v>
      </c>
      <c r="AH50" s="13">
        <f>IF(N12&lt;=AH40,0,AG50*(1-N11+N10))</f>
        <v>18682.334659634729</v>
      </c>
      <c r="AI50" s="13">
        <f>IF(N12&lt;=AI40,0,AH50*(1-N11+N10))</f>
        <v>18346.052635761305</v>
      </c>
      <c r="AJ50" s="13">
        <f>IF(N12&lt;=AJ40,0,AI50*(1-N11+N10))</f>
        <v>18015.823688317603</v>
      </c>
      <c r="AK50" s="13">
        <f>IF(N12&lt;=AK40,0,AJ50*(1-N11+N10))</f>
        <v>17691.538861927886</v>
      </c>
      <c r="AL50" s="13">
        <f>IF(N12&lt;=AL40,0,AK50*(1-N11+N10))</f>
        <v>17373.091162413184</v>
      </c>
      <c r="AM50" s="13">
        <f>IF(N12&lt;=AM40,0,AL50*(1-N11+N10))</f>
        <v>0</v>
      </c>
      <c r="AN50" s="13">
        <f>IF(N12&lt;=AN40,0,AM50*(1-N11+N10))</f>
        <v>0</v>
      </c>
      <c r="AO50" s="13">
        <f>IF(N12&lt;=AO40,0,AN50*(1-N11+N10))</f>
        <v>0</v>
      </c>
      <c r="AP50" s="13">
        <f>IF(N12&lt;=AP40,0,AO50*(1-N11+N10))</f>
        <v>0</v>
      </c>
      <c r="AQ50" s="13">
        <f>IF(N12&lt;=AQ40,0,AP50*(1-N11+N10))</f>
        <v>0</v>
      </c>
      <c r="AR50" s="13">
        <f>IF(N12&lt;=AR40,0,AQ50*(1-N11+N10))</f>
        <v>0</v>
      </c>
      <c r="AS50" s="13">
        <f>IF(N12&lt;=AS40,0,AR50*(1-N11+N10))</f>
        <v>0</v>
      </c>
      <c r="AT50" s="13">
        <f>IF(N12&lt;=AT40,0,AS50*(1-N11+N10))</f>
        <v>0</v>
      </c>
      <c r="AU50" s="13"/>
      <c r="AV50" s="13"/>
      <c r="AW50" s="13"/>
      <c r="AX50" s="13"/>
      <c r="AY50" s="13"/>
    </row>
    <row r="51" spans="1:66" ht="15.75" customHeight="1" x14ac:dyDescent="0.2">
      <c r="A51" s="39">
        <v>13</v>
      </c>
      <c r="B51" s="40">
        <f>(A51*N7)</f>
        <v>0.41600000000000004</v>
      </c>
      <c r="C51" s="41">
        <f>(((LARGE(G19:P19,1))+(LARGE(G19:P19,2))+(LARGE(G19:P19,3)))/3)*(B51)</f>
        <v>34615.776000000005</v>
      </c>
      <c r="M51" s="21">
        <f t="array" ref="M51">IF(N12&lt;=M40,0,NPV((N11-N10),0,0,0,0,0,0,0,0,0,0,0,0,0,0,0,0,0,0,0,C51))</f>
        <v>24228.052822433921</v>
      </c>
      <c r="N51" s="13">
        <f>IF(N12&lt;=N40,0,M51*(1-N11+N10))</f>
        <v>23791.947871630109</v>
      </c>
      <c r="O51" s="13">
        <f>IF(N12&lt;=O40,0,N51*(1-N11+N10))</f>
        <v>23363.692809940767</v>
      </c>
      <c r="P51" s="13">
        <f>IF(N12&lt;=P40,0,O51*(1-N11+N10))</f>
        <v>22943.146339361832</v>
      </c>
      <c r="Q51" s="13">
        <f>IF(N12&lt;=Q40,0,P51*(1-N11+N10))</f>
        <v>22530.16970525332</v>
      </c>
      <c r="R51" s="13">
        <f>IF(N12&lt;=R40,0,Q51*(1-N11+N10))</f>
        <v>22124.626650558759</v>
      </c>
      <c r="S51" s="13">
        <f>IF(N12&lt;=S40,0,R51*(1-N11+N10))</f>
        <v>21726.3833708487</v>
      </c>
      <c r="T51" s="13">
        <f>IF(N12&lt;=T40,0,S51*(1-N11+N10))</f>
        <v>21335.308470173422</v>
      </c>
      <c r="U51" s="13">
        <f>IF(N12&lt;=U40,0,T51*(1-N11+N10))</f>
        <v>20951.272917710299</v>
      </c>
      <c r="V51" s="13">
        <f>IF(N12&lt;=V40,0,U51*(1-N11+N10))</f>
        <v>20574.150005191514</v>
      </c>
      <c r="W51" s="13">
        <f>IF(N12&lt;=W40,0,V51*(1-N11+N10))</f>
        <v>20203.815305098065</v>
      </c>
      <c r="X51" s="13">
        <f>IF(N12&lt;=X40,0,W51*(1-N11+N10))</f>
        <v>19840.146629606301</v>
      </c>
      <c r="Y51" s="13">
        <f>IF(N12&lt;=Y40,0,X51*(1-N11+N10))</f>
        <v>19483.023990273388</v>
      </c>
      <c r="Z51" s="13">
        <f>IF(N12&lt;=Z40,0,Y51*(1-N11+N10))</f>
        <v>19132.329558448466</v>
      </c>
      <c r="AA51" s="13">
        <f>IF(N12&lt;=AA40,0,Z51*(1-N11+N10))</f>
        <v>18787.947626396392</v>
      </c>
      <c r="AB51" s="13">
        <f>IF(N12&lt;=AB40,0,AA51*(1-N11+N10))</f>
        <v>18449.764569121256</v>
      </c>
      <c r="AC51" s="13">
        <f>IF(N12&lt;=AC40,0,AB51*(1-N11+N10))</f>
        <v>18117.668806877075</v>
      </c>
      <c r="AD51" s="13">
        <f>IF(N12&lt;=AD40,0,AC51*(1-N11+N10))</f>
        <v>17791.550768353285</v>
      </c>
      <c r="AE51" s="13">
        <f>IF(N12&lt;=AE40,0,AD51*(1-N11+N10))</f>
        <v>17471.302854522924</v>
      </c>
      <c r="AF51" s="13">
        <f>IF(N12&lt;=AF40,0,AE51*(1-N11+N10))</f>
        <v>17156.819403141511</v>
      </c>
      <c r="AG51" s="13">
        <f>IF(N12&lt;=AG40,0,AF51*(1-N11+N10))</f>
        <v>16847.996653884962</v>
      </c>
      <c r="AH51" s="13">
        <f>IF(N12&lt;=AH40,0,AG51*(1-N11+N10))</f>
        <v>16544.732714115031</v>
      </c>
      <c r="AI51" s="13">
        <f>IF(N12&lt;=AI40,0,AH51*(1-N11+N10))</f>
        <v>16246.92752526096</v>
      </c>
      <c r="AJ51" s="13">
        <f>IF(N12&lt;=AJ40,0,AI51*(1-N11+N10))</f>
        <v>15954.482829806262</v>
      </c>
      <c r="AK51" s="13">
        <f>IF(N12&lt;=AK40,0,AJ51*(1-N11+N10))</f>
        <v>15667.302138869749</v>
      </c>
      <c r="AL51" s="13">
        <f>IF(N12&lt;=AL40,0,AK51*(1-N11+N10))</f>
        <v>15385.290700370093</v>
      </c>
      <c r="AM51" s="13">
        <f>IF(N12&lt;=AM40,0,AL51*(1-N11+N10))</f>
        <v>0</v>
      </c>
      <c r="AN51" s="13">
        <f>IF(N12&lt;=AN40,0,AM51*(1-N11+N10))</f>
        <v>0</v>
      </c>
      <c r="AO51" s="13">
        <f>IF(N12&lt;=AO40,0,AN51*(1-N11+N10))</f>
        <v>0</v>
      </c>
      <c r="AP51" s="13">
        <f>IF(N12&lt;=AP40,0,AO51*(1-N11+N10))</f>
        <v>0</v>
      </c>
      <c r="AQ51" s="13">
        <f>IF(N12&lt;=AQ40,0,AP51*(1-N11+N10))</f>
        <v>0</v>
      </c>
      <c r="AR51" s="13">
        <f>IF(N12&lt;=AR40,0,AQ51*(1-N11+N10))</f>
        <v>0</v>
      </c>
      <c r="AS51" s="13">
        <f>IF(N12&lt;=AS40,0,AR51*(1-N11+N10))</f>
        <v>0</v>
      </c>
      <c r="AT51" s="13">
        <f>IF(N12&lt;=AT40,0,AS51*(1-N11+N10))</f>
        <v>0</v>
      </c>
      <c r="AU51" s="13"/>
      <c r="AV51" s="13"/>
      <c r="AW51" s="13"/>
      <c r="AX51" s="13"/>
      <c r="AY51" s="13"/>
    </row>
    <row r="52" spans="1:66" ht="15.75" customHeight="1" x14ac:dyDescent="0.2">
      <c r="A52" s="39">
        <v>12</v>
      </c>
      <c r="B52" s="40">
        <f>(A52*N7)</f>
        <v>0.38400000000000001</v>
      </c>
      <c r="C52" s="41">
        <f>(((LARGE(F19:O19,1))+(LARGE(F19:O19,2))+(LARGE(F19:O19,3)))/3)*(B52)</f>
        <v>31256.064000000002</v>
      </c>
      <c r="M52" s="21">
        <f t="array" ref="M52">IF(N12&lt;=M40,0,NPV((N11-N10),0,0,0,0,0,0,0,0,0,0,0,0,0,0,0,0,0,0,0,0,C52))</f>
        <v>21489.729528737495</v>
      </c>
      <c r="N52" s="13">
        <f>IF(N12&lt;=N40,0,M52*(1-N11+N10))</f>
        <v>21102.914397220218</v>
      </c>
      <c r="O52" s="13">
        <f>IF(N12&lt;=O40,0,N52*(1-N11+N10))</f>
        <v>20723.061938070256</v>
      </c>
      <c r="P52" s="13">
        <f>IF(N12&lt;=P40,0,O52*(1-N11+N10))</f>
        <v>20350.046823184992</v>
      </c>
      <c r="Q52" s="13">
        <f>IF(N12&lt;=Q40,0,P52*(1-N11+N10))</f>
        <v>19983.745980367661</v>
      </c>
      <c r="R52" s="13">
        <f>IF(N12&lt;=R40,0,Q52*(1-N11+N10))</f>
        <v>19624.038552721042</v>
      </c>
      <c r="S52" s="13">
        <f>IF(N12&lt;=S40,0,R52*(1-N11+N10))</f>
        <v>19270.805858772062</v>
      </c>
      <c r="T52" s="13">
        <f>IF(N12&lt;=T40,0,S52*(1-N11+N10))</f>
        <v>18923.931353314165</v>
      </c>
      <c r="U52" s="13">
        <f>IF(N12&lt;=U40,0,T52*(1-N11+N10))</f>
        <v>18583.300588954509</v>
      </c>
      <c r="V52" s="13">
        <f>IF(N12&lt;=V40,0,U52*(1-N11+N10))</f>
        <v>18248.801178353329</v>
      </c>
      <c r="W52" s="13">
        <f>IF(N12&lt;=W40,0,V52*(1-N11+N10))</f>
        <v>17920.322757142971</v>
      </c>
      <c r="X52" s="13">
        <f>IF(N12&lt;=X40,0,W52*(1-N11+N10))</f>
        <v>17597.756947514397</v>
      </c>
      <c r="Y52" s="13">
        <f>IF(N12&lt;=Y40,0,X52*(1-N11+N10))</f>
        <v>17280.997322459138</v>
      </c>
      <c r="Z52" s="13">
        <f>IF(N12&lt;=Z40,0,Y52*(1-N11+N10))</f>
        <v>16969.939370654873</v>
      </c>
      <c r="AA52" s="13">
        <f>IF(N12&lt;=AA40,0,Z52*(1-N11+N10))</f>
        <v>16664.480461983083</v>
      </c>
      <c r="AB52" s="13">
        <f>IF(N12&lt;=AB40,0,AA52*(1-N11+N10))</f>
        <v>16364.519813667388</v>
      </c>
      <c r="AC52" s="13">
        <f>IF(N12&lt;=AC40,0,AB52*(1-N11+N10))</f>
        <v>16069.958457021376</v>
      </c>
      <c r="AD52" s="13">
        <f>IF(N12&lt;=AD40,0,AC52*(1-N11+N10))</f>
        <v>15780.69920479499</v>
      </c>
      <c r="AE52" s="13">
        <f>IF(N12&lt;=AE40,0,AD52*(1-N11+N10))</f>
        <v>15496.64661910868</v>
      </c>
      <c r="AF52" s="13">
        <f>IF(N12&lt;=AF40,0,IF(N12&lt;=AF40,0,AE52*(1-N11+N10)))</f>
        <v>15217.706979964723</v>
      </c>
      <c r="AG52" s="13">
        <f>IF(N12&lt;=AG40,0,AF52*(1-N11+N10))</f>
        <v>14943.788254325358</v>
      </c>
      <c r="AH52" s="13">
        <f>IF(N12&lt;=AH40,0,AG52*(1-N11+N10))</f>
        <v>14674.800065747502</v>
      </c>
      <c r="AI52" s="13">
        <f>IF(N12&lt;=AI40,0,AH52*(1-N11+N10))</f>
        <v>14410.653664564046</v>
      </c>
      <c r="AJ52" s="13">
        <f>IF(N12&lt;=AJ40,0,AI52*(1-N11+N10))</f>
        <v>14151.261898601893</v>
      </c>
      <c r="AK52" s="13">
        <f>IF(N12&lt;=AK40,0,AJ52*(1-N11+N10))</f>
        <v>13896.53918442706</v>
      </c>
      <c r="AL52" s="13">
        <f>IF(N12&lt;=AL40,0,AK52*(1-N11+N10))</f>
        <v>13646.401479107373</v>
      </c>
      <c r="AM52" s="13">
        <f>IF(N12&lt;=AM40,0,AL52*(1-N11+N10))</f>
        <v>0</v>
      </c>
      <c r="AN52" s="13">
        <f>IF(N12&lt;=AN40,0,AM52*(1-N11+N10))</f>
        <v>0</v>
      </c>
      <c r="AO52" s="13">
        <f>IF(N12&lt;=AO40,0,AN52*(1-N11+N10))</f>
        <v>0</v>
      </c>
      <c r="AP52" s="13">
        <f>IF(N12&lt;=AP40,0,AO52*(1-N11+N10))</f>
        <v>0</v>
      </c>
      <c r="AQ52" s="13">
        <f>IF(N12&lt;=AQ40,0,AP52*(1-N11+N10))</f>
        <v>0</v>
      </c>
      <c r="AR52" s="13">
        <f>IF(N12&lt;=AR40,0,AQ52*(1-N11+N10))</f>
        <v>0</v>
      </c>
      <c r="AS52" s="13">
        <f>IF(N12&lt;=AS40,0,AR52*(1-N11+N10))</f>
        <v>0</v>
      </c>
      <c r="AT52" s="13">
        <f>IF(N12&lt;=AT40,0,AS52*(1-N11+N10))</f>
        <v>0</v>
      </c>
      <c r="AU52" s="13"/>
      <c r="AV52" s="13"/>
      <c r="AW52" s="13"/>
      <c r="AX52" s="13"/>
      <c r="AY52" s="13"/>
    </row>
    <row r="53" spans="1:66" ht="15.75" customHeight="1" x14ac:dyDescent="0.2">
      <c r="A53" s="39">
        <v>11</v>
      </c>
      <c r="B53" s="40">
        <f>(A53*N7)</f>
        <v>0.35199999999999998</v>
      </c>
      <c r="C53" s="41">
        <f>(((LARGE(E19:N19,1))+(LARGE(E19:N19,2))+(LARGE(E19:N19,3)))/3)*(B53)</f>
        <v>28012.511999999999</v>
      </c>
      <c r="M53" s="21">
        <f t="array" ref="M53">IF(N12&lt;=M40,0,NPV((N11-N10),0,0,0,0,0,0,0,0,0,0,0,0,0,0,0,0,0,0,0,0,0,C53))</f>
        <v>18919.12033618772</v>
      </c>
      <c r="N53" s="13">
        <f>IF(N12&lt;=N40,0,M53*(1-N11+N10))</f>
        <v>18578.576170136341</v>
      </c>
      <c r="O53" s="13">
        <f>IF(N12&lt;=O40,0,N53*(1-N11+N10))</f>
        <v>18244.161799073885</v>
      </c>
      <c r="P53" s="13">
        <f>IF(N12&lt;=P40,0,O53*(1-N11+N10))</f>
        <v>17915.766886690555</v>
      </c>
      <c r="Q53" s="13">
        <f>IF(N12&lt;=Q40,0,P53*(1-N11+N10))</f>
        <v>17593.283082730126</v>
      </c>
      <c r="R53" s="13">
        <f>IF(N12&lt;=R40,0,Q53*(1-N11+N10))</f>
        <v>17276.603987240982</v>
      </c>
      <c r="S53" s="13">
        <f>IF(N12&lt;=S40,0,R53*(1-N11+N10))</f>
        <v>16965.625115470644</v>
      </c>
      <c r="T53" s="13">
        <f>IF(N12&lt;=T40,0,S53*(1-N11+N10))</f>
        <v>16660.243863392174</v>
      </c>
      <c r="U53" s="13">
        <f>IF(N12&lt;=U40,0,T53*(1-N11+N10))</f>
        <v>16360.359473851115</v>
      </c>
      <c r="V53" s="13">
        <f>IF(N12&lt;=VZ40,0,U53*(1-N11+N10))</f>
        <v>16065.873003321794</v>
      </c>
      <c r="W53" s="13">
        <f>IF(N12&lt;=W40,0,V53*(1-N11+N10))</f>
        <v>15776.687289262001</v>
      </c>
      <c r="X53" s="13">
        <f>IF(N12&lt;=X40,0,W53*(1-N11+N10))</f>
        <v>15492.706918055284</v>
      </c>
      <c r="Y53" s="13">
        <f>IF(N12&lt;=Y40,0,X53*(1-N11+N10))</f>
        <v>15213.83819353029</v>
      </c>
      <c r="Z53" s="13">
        <f>IF(N12&lt;=Z40,0,Y53*(1-N11+N10))</f>
        <v>14939.989106046743</v>
      </c>
      <c r="AA53" s="13">
        <f>IF(N12&lt;=AA40,0,Z53*(1-N11+N10))</f>
        <v>14671.069302137901</v>
      </c>
      <c r="AB53" s="13">
        <f>IF(N12&lt;=AB40,0,AA53*(1-N11+N10))</f>
        <v>14406.990054699419</v>
      </c>
      <c r="AC53" s="13">
        <f>IF(N12&lt;=AC40,0,AB53*(1-N11+N10))</f>
        <v>14147.66423371483</v>
      </c>
      <c r="AD53" s="13">
        <f>IF(N12&lt;=AD40,0,AC53*(1-N11+N10))</f>
        <v>13893.006277507962</v>
      </c>
      <c r="AE53" s="13">
        <f>IF(N12&lt;=AE40,0,AD53*(1-N11+N10))</f>
        <v>13642.932164512818</v>
      </c>
      <c r="AF53" s="13">
        <f>IF(N12&lt;=AF40,0,AE53*(1-N11+N10))</f>
        <v>13397.359385551588</v>
      </c>
      <c r="AG53" s="13">
        <f>IF(N12&lt;=AG40,0,AF53*(1-N11+N10))</f>
        <v>13156.20691661166</v>
      </c>
      <c r="AH53" s="13">
        <f>IF(N12&lt;=AH40,0,AG53*(1-N11+N10))</f>
        <v>12919.39519211265</v>
      </c>
      <c r="AI53" s="13">
        <f>IF(N12&lt;=AI40,0,AH53*(1-N11+N10))</f>
        <v>12686.846078654622</v>
      </c>
      <c r="AJ53" s="13">
        <f>IF(N12&lt;=AJ40,0,AI53*(1-N11+N10))</f>
        <v>12458.482849238839</v>
      </c>
      <c r="AK53" s="13">
        <f>IF(N12&lt;=AK40,0,AJ53*(1-N11+N10))</f>
        <v>12234.230157952539</v>
      </c>
      <c r="AL53" s="13">
        <f>IF(N12&lt;=AL40,0,AK53*(1-N11+N10))</f>
        <v>12014.014015109393</v>
      </c>
      <c r="AM53" s="13">
        <f>IF(N12&lt;=AM40,0,AL53*(1-N11+N10))</f>
        <v>0</v>
      </c>
      <c r="AN53" s="13">
        <f>IF(N12&lt;=AN40,0,AM53*(1-N11+N10))</f>
        <v>0</v>
      </c>
      <c r="AO53" s="13">
        <f>IF(N12&lt;=AO40,0,AN53*(1-N11+N10))</f>
        <v>0</v>
      </c>
      <c r="AP53" s="13">
        <f>IF(N12&lt;=AP40,0,AO53*(1-N11+N10))</f>
        <v>0</v>
      </c>
      <c r="AQ53" s="13">
        <f>IF(N12&lt;=AQ40,0,AP53*(1-N11+N10))</f>
        <v>0</v>
      </c>
      <c r="AR53" s="13">
        <f>IF(N12&lt;=AR40,0,AQ53*(1-N11+N10))</f>
        <v>0</v>
      </c>
      <c r="AS53" s="13">
        <f>IF(N12&lt;=AS40,0,AR53*(1-N11+N10))</f>
        <v>0</v>
      </c>
      <c r="AT53" s="13">
        <f>IF(N12&lt;=AT40,0,AS53*(1-N11+N10))</f>
        <v>0</v>
      </c>
      <c r="AU53" s="13"/>
      <c r="AV53" s="13"/>
      <c r="AW53" s="13"/>
      <c r="AX53" s="13"/>
      <c r="AY53" s="13"/>
    </row>
    <row r="54" spans="1:66" ht="15.75" customHeight="1" x14ac:dyDescent="0.2">
      <c r="A54" s="39">
        <v>10</v>
      </c>
      <c r="B54" s="40">
        <f>(A54*N7)</f>
        <v>0.32</v>
      </c>
      <c r="C54" s="41">
        <f>(((LARGE(D19:M19,1))+(LARGE(D19:M19,2))+(LARGE(D19:M19,3)))/3)*(B54)</f>
        <v>24885.119999999999</v>
      </c>
      <c r="M54" s="21">
        <f t="array" ref="M54">IF(N12&lt;=M40,0,NPV((N11-N10),0,0,0,0,0,0,0,0,0,0,0,0,0,0,0,0,0,0,0,0,0,0,C54))</f>
        <v>16509.763241648681</v>
      </c>
      <c r="N54" s="13">
        <f>IF(N12&lt;=N40,0,M54*(1-N11+N10))</f>
        <v>16212.587503299004</v>
      </c>
      <c r="O54" s="13">
        <f>IF(N12&lt;=O40,0,N54*(1-N11+N10))</f>
        <v>15920.760928239622</v>
      </c>
      <c r="P54" s="13">
        <f>IF(N12&lt;=P40,0,O54*(1-N11+N10))</f>
        <v>15634.187231531308</v>
      </c>
      <c r="Q54" s="13">
        <f>IF(N12&lt;=Q40,0,P54*(1-N11+N10))</f>
        <v>15352.771861363744</v>
      </c>
      <c r="R54" s="13">
        <f>IF(N12&lt;=R40,0,Q54*(1-N11+N10))</f>
        <v>15076.421967859196</v>
      </c>
      <c r="S54" s="13">
        <f>IF(N12&lt;=S40,0,R54*(1-N11+N10))</f>
        <v>14805.04637243773</v>
      </c>
      <c r="T54" s="13">
        <f>IF(N12&lt;=T40,0,S54*(1-N11+N10))</f>
        <v>14538.55553773385</v>
      </c>
      <c r="U54" s="13">
        <f>IF(N12&lt;=U40,0,T54*(1-N11+N10))</f>
        <v>14276.86153805464</v>
      </c>
      <c r="V54" s="13">
        <f>IF(N12&lt;=V40,0,U54*(1-N11+N10))</f>
        <v>14019.878030369657</v>
      </c>
      <c r="W54" s="13">
        <f>IF(N12&lt;=W40,0,V54*(1-N11+N10))</f>
        <v>13767.520225823002</v>
      </c>
      <c r="X54" s="13">
        <f>IF(N12&lt;=X40,0,W54*(1-N11+N10))</f>
        <v>13519.704861758188</v>
      </c>
      <c r="Y54" s="13">
        <f>IF(N12&lt;=Y40,0,X54*(1-N11+N10))</f>
        <v>13276.35017424654</v>
      </c>
      <c r="Z54" s="13">
        <f>IF(N12&lt;=Z40,0,Y54*(1-N11+N10))</f>
        <v>13037.375871110102</v>
      </c>
      <c r="AA54" s="13">
        <f>IF(N12&lt;=AA40,0,Z54*(1-N11+N10))</f>
        <v>12802.703105430121</v>
      </c>
      <c r="AB54" s="13">
        <f>IF(N12&lt;=AB40,0,AA54*(1-N11+N10))</f>
        <v>12572.254449532378</v>
      </c>
      <c r="AC54" s="13">
        <f>IF(N12&lt;=AC40,0,AB54*(1-N11+N10))</f>
        <v>12345.953869440795</v>
      </c>
      <c r="AD54" s="13">
        <f>IF(N12&lt;=AD40,0,AC54*(1-N11+N10))</f>
        <v>12123.726699790861</v>
      </c>
      <c r="AE54" s="13">
        <f>IF(N12&lt;=AE40,0,AD54*(1-N11+N10))</f>
        <v>11905.499619194625</v>
      </c>
      <c r="AF54" s="13">
        <f>IF(N12&lt;=AF40,0,AE54*(1-N11+N10))</f>
        <v>11691.200626049122</v>
      </c>
      <c r="AG54" s="13">
        <f>IF(N12&lt;=AG40,0,AF54*(1-N11+N10))</f>
        <v>11480.759014780237</v>
      </c>
      <c r="AH54" s="13">
        <f>IF(N12&lt;=AH40,0,AG54*(1-N11+N10))</f>
        <v>11274.105352514192</v>
      </c>
      <c r="AI54" s="13">
        <f>IF(N12&lt;=AI40,0,AH54*(1-N11+N10))</f>
        <v>11071.171456168937</v>
      </c>
      <c r="AJ54" s="13">
        <f>IF(N12&lt;=AJ40,0,AI54*(1-N11+N10))</f>
        <v>10871.890369957895</v>
      </c>
      <c r="AK54" s="13">
        <f>IF(N12&lt;=AK40,0,AJ54*(1-N11+N10))</f>
        <v>10676.196343298652</v>
      </c>
      <c r="AL54" s="13">
        <f>IF(N12&lt;=AL40,0,AK54*(1-N11+N10))</f>
        <v>10484.024809119277</v>
      </c>
      <c r="AM54" s="13">
        <f>IF(N12&lt;=AM40,0,AL54*(1-N11+N10))</f>
        <v>0</v>
      </c>
      <c r="AN54" s="13">
        <f>IF(N12&lt;=AN40,0,AM54*(1-N11+N10))</f>
        <v>0</v>
      </c>
      <c r="AO54" s="13">
        <f>IF(N12&lt;=AO40,0,AN54*(1-N11+N10))</f>
        <v>0</v>
      </c>
      <c r="AP54" s="13">
        <f>IF(N12&lt;=AP40,0,AO54*(1-N11+N10))</f>
        <v>0</v>
      </c>
      <c r="AQ54" s="13">
        <f>IF(N12&lt;=AQ40,0,AP54*(1-N11+N10))</f>
        <v>0</v>
      </c>
      <c r="AR54" s="13">
        <f>IF(N12&lt;=AR40,0,AQ54*(1-N11+N10))</f>
        <v>0</v>
      </c>
      <c r="AS54" s="13">
        <f>IF(N12&lt;=AS40,0,AR54*(1-N11+N10))</f>
        <v>0</v>
      </c>
      <c r="AT54" s="13">
        <f>IF(N12&lt;=AT40,0,AS54*(1-N11+N10))</f>
        <v>0</v>
      </c>
      <c r="AU54" s="13"/>
      <c r="AV54" s="13"/>
      <c r="AW54" s="13"/>
      <c r="AX54" s="13"/>
      <c r="AY54" s="13"/>
    </row>
    <row r="55" spans="1:66" ht="15.75" customHeight="1" x14ac:dyDescent="0.2">
      <c r="A55" s="65"/>
      <c r="B55" s="63"/>
      <c r="C55" s="6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32"/>
      <c r="AV55" s="32"/>
      <c r="AW55" s="32"/>
      <c r="AX55" s="32"/>
      <c r="AY55" s="32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</row>
    <row r="56" spans="1:66" ht="15.75" customHeight="1" x14ac:dyDescent="0.2">
      <c r="A56" s="79" t="s">
        <v>70</v>
      </c>
      <c r="B56" s="63"/>
      <c r="C56" s="63"/>
      <c r="D56" s="22">
        <f>IF(N12&lt;=D40,0,N5)</f>
        <v>76429.183999999994</v>
      </c>
      <c r="E56" s="22">
        <f>IF(N12&lt;=E40,0,N5)</f>
        <v>76429.183999999994</v>
      </c>
      <c r="F56" s="22">
        <f>IF(N12&lt;=F40,0,N5)</f>
        <v>76429.183999999994</v>
      </c>
      <c r="G56" s="22">
        <f>IF(N12&lt;=G40,0,N5)</f>
        <v>76429.183999999994</v>
      </c>
      <c r="H56" s="22">
        <f>IF(N12&lt;=H40,0,N5)</f>
        <v>76429.183999999994</v>
      </c>
      <c r="I56" s="22">
        <f>IF(N12&lt;=I40,0,N5)</f>
        <v>76429.183999999994</v>
      </c>
      <c r="J56" s="22">
        <f>IF(N12&lt;=J40,0,N5)</f>
        <v>76429.183999999994</v>
      </c>
      <c r="K56" s="22">
        <f>IF(N12&lt;=K40,0,N5)</f>
        <v>76429.183999999994</v>
      </c>
      <c r="L56" s="22">
        <f>IF(N12&lt;=L40,0,N5)</f>
        <v>76429.183999999994</v>
      </c>
      <c r="M56" s="22">
        <f>IF(N12&lt;=M40,0,N5)</f>
        <v>76429.183999999994</v>
      </c>
      <c r="N56" s="22">
        <f>IF(N12&lt;=N40,0,N5)</f>
        <v>76429.183999999994</v>
      </c>
      <c r="O56" s="22">
        <f>IF(N12&lt;=O40,0,N5)</f>
        <v>76429.183999999994</v>
      </c>
      <c r="P56" s="22">
        <f>IF(N12&lt;=P40,0,N5)</f>
        <v>76429.183999999994</v>
      </c>
      <c r="Q56" s="22">
        <f>IF(N12&lt;=Q40,0,N5)</f>
        <v>76429.183999999994</v>
      </c>
      <c r="R56" s="22">
        <f>IF(N12&lt;=R40,0,N5)</f>
        <v>76429.183999999994</v>
      </c>
      <c r="S56" s="22">
        <f>IF(N12&lt;=S40,0,N5)</f>
        <v>76429.183999999994</v>
      </c>
      <c r="T56" s="22">
        <f>IF(N12&lt;=T40,0,N5)</f>
        <v>76429.183999999994</v>
      </c>
      <c r="U56" s="22">
        <f>IF(N12&lt;=U40,0,N5)</f>
        <v>76429.183999999994</v>
      </c>
      <c r="V56" s="22">
        <f>IF(N12&lt;=V40,0,N5)</f>
        <v>76429.183999999994</v>
      </c>
      <c r="W56" s="22">
        <f>IF(N12&lt;=W40,0,N5)</f>
        <v>76429.183999999994</v>
      </c>
      <c r="X56" s="22">
        <f>IF(N12&lt;=X40,0,N5)</f>
        <v>76429.183999999994</v>
      </c>
      <c r="Y56" s="22">
        <f>IF(N12&lt;=Y40,0,N5)</f>
        <v>76429.183999999994</v>
      </c>
      <c r="Z56" s="22">
        <f>IF(N12&lt;=Z40,0,N5)</f>
        <v>76429.183999999994</v>
      </c>
      <c r="AA56" s="22">
        <f>IF(N12&lt;=AA40,0,N5)</f>
        <v>76429.183999999994</v>
      </c>
      <c r="AB56" s="22">
        <f>IF(N12&lt;=AB40,0,N5)</f>
        <v>76429.183999999994</v>
      </c>
      <c r="AC56" s="22">
        <f>IF(N12&lt;=AC40,0,N5)</f>
        <v>76429.183999999994</v>
      </c>
      <c r="AD56" s="22">
        <f>IF(N12&lt;=AD40,0,N5)</f>
        <v>76429.183999999994</v>
      </c>
      <c r="AE56" s="22">
        <f>IF(N12&lt;=AE40,0,N5)</f>
        <v>76429.183999999994</v>
      </c>
      <c r="AF56" s="22">
        <f>IF(N12&lt;=AF40,0,N5)</f>
        <v>76429.183999999994</v>
      </c>
      <c r="AG56" s="22">
        <f>IF(N12&lt;=AG40,0,N5)</f>
        <v>76429.183999999994</v>
      </c>
      <c r="AH56" s="22">
        <f>IF(N12&lt;=AH40,0,N5)</f>
        <v>76429.183999999994</v>
      </c>
      <c r="AI56" s="22">
        <f>IF(N12&lt;=AI40,0,N5)</f>
        <v>76429.183999999994</v>
      </c>
      <c r="AJ56" s="22">
        <f>IF(N12&lt;=AJ40,0,N5)</f>
        <v>76429.183999999994</v>
      </c>
      <c r="AK56" s="22">
        <f>IF(N12&lt;=AK40,0,N5)</f>
        <v>76429.183999999994</v>
      </c>
      <c r="AL56" s="22">
        <f>IF(N12&lt;=AL40,0,N5)</f>
        <v>76429.183999999994</v>
      </c>
      <c r="AM56" s="22">
        <f>IF(N12&lt;=AM40,0,N5)</f>
        <v>0</v>
      </c>
      <c r="AN56" s="22">
        <f>IF(N12&lt;=AN40,0,N5)</f>
        <v>0</v>
      </c>
      <c r="AO56" s="22">
        <f>IF(N12&lt;=AO40,0,N5)</f>
        <v>0</v>
      </c>
      <c r="AP56" s="22">
        <f>IF(N12&lt;=AP40,0,N5)</f>
        <v>0</v>
      </c>
      <c r="AQ56" s="22">
        <f>IF(N12&lt;=AQ40,0,N5)</f>
        <v>0</v>
      </c>
      <c r="AR56" s="22">
        <f>IF(N12&lt;=AR40,0,N5)</f>
        <v>0</v>
      </c>
      <c r="AS56" s="22">
        <f>IF(N12&lt;=AS40,0,N5)</f>
        <v>0</v>
      </c>
      <c r="AT56" s="22">
        <f>IF(N12&lt;=AT40,0,N5)</f>
        <v>0</v>
      </c>
      <c r="AU56" s="42"/>
      <c r="AV56" s="42"/>
      <c r="AW56" s="42"/>
      <c r="AX56" s="42"/>
      <c r="AY56" s="42"/>
      <c r="AZ56" s="22"/>
      <c r="BA56" s="22"/>
      <c r="BB56" s="22"/>
      <c r="BC56" s="22"/>
    </row>
    <row r="57" spans="1:66" ht="15.75" customHeight="1" x14ac:dyDescent="0.2">
      <c r="A57" s="80" t="s">
        <v>71</v>
      </c>
      <c r="B57" s="63"/>
      <c r="C57" s="63"/>
      <c r="D57" s="22">
        <f>IF(N12&lt;=D40,0,MAX(0,(-FV((N8-N11),1,-D56,AA37))))</f>
        <v>1636161.4323249715</v>
      </c>
      <c r="E57" s="22">
        <f>IF(N12&lt;=E40,0,MAX(0,(-FV((N8-N11),1,-E56,D57))))</f>
        <v>1648903.0463866827</v>
      </c>
      <c r="F57" s="22">
        <f>IF(N12&lt;=F40,0,MAX(0,(-FV((N8-N11),1,-F56,E57))))</f>
        <v>1662339.078414757</v>
      </c>
      <c r="G57" s="22">
        <f>IF(N12&lt;=G40,0,MAX(0,(-FV((N8-N11),1,-G56,F57))))</f>
        <v>1676507.3741883615</v>
      </c>
      <c r="H57" s="22">
        <f>IF(N12&lt;=H40,0,MAX(0,(-FV((N8-N11),1,-H56,G57))))</f>
        <v>1691447.8420816273</v>
      </c>
      <c r="I57" s="22">
        <f>IF(N12&lt;=I40,0,MAX(0,(-FV((N8-N11),1,-I56,H57))))</f>
        <v>1707202.5654750762</v>
      </c>
      <c r="J57" s="22">
        <f>IF(N12&lt;=J40,0,MAX(0,(-FV((N8-N11),1,-J56,I57))))</f>
        <v>1723815.921293468</v>
      </c>
      <c r="K57" s="22">
        <f>IF(N12&lt;=K40,0,MAX(0,(-FV((N8-N11),1,-K56,J57))))</f>
        <v>1741334.7050039622</v>
      </c>
      <c r="L57" s="22">
        <f>IF(N12&lt;=L40,0,MAX(0,(-FV((N8-N11),1,-L56,K57))))</f>
        <v>1759808.2624266781</v>
      </c>
      <c r="M57" s="22">
        <f>IF(N12&lt;=M40,0,MAX(0,(-FV((N8-N11),1,-M56,L57))))</f>
        <v>1779288.6287289322</v>
      </c>
      <c r="N57" s="22">
        <f>IF(N12&lt;=N40,0,MAX(0,(-FV((N8-N11),1,-N56,M57))))</f>
        <v>1799830.6749946591</v>
      </c>
      <c r="O57" s="22">
        <f>IF(N12&lt;=O40,0,MAX(0,(-FV((N8-N11),1,-O56,N57))))</f>
        <v>1821492.2627818682</v>
      </c>
      <c r="P57" s="22">
        <f>IF(N12&lt;=P40,0,MAX(0,(-FV((N8-N11),1,-P56,O57))))</f>
        <v>1844334.4071034801</v>
      </c>
      <c r="Q57" s="22">
        <f>IF(N12&lt;=Q40,0,MAX(0,(-FV((N8-N11),1,-Q56,P57))))</f>
        <v>1868421.4482906198</v>
      </c>
      <c r="R57" s="22">
        <f>IF(N12&lt;=R40,0,MAX(0,(-FV((N8-N11),1,-R56,Q57))))</f>
        <v>1893821.2332224587</v>
      </c>
      <c r="S57" s="22">
        <f>IF(N12&lt;=S40,0,MAX(0,(-FV((N8-N11),1,-S56,R57))))</f>
        <v>1920605.3064330828</v>
      </c>
      <c r="T57" s="22">
        <f>IF(N12&lt;=T40,0,MAX(0,(-FV((N8-N11),1,-T56,S57))))</f>
        <v>1948849.1116336859</v>
      </c>
      <c r="U57" s="22">
        <f>IF(N12&lt;=U40,0,MAX(0,(-FV((N8-N11),1,-U56,T57))))</f>
        <v>1978632.2042177219</v>
      </c>
      <c r="V57" s="22">
        <f>IF(N12&lt;=V40,0,MAX(0,(-FV((N8-N11),1,-V56,U57))))</f>
        <v>2010038.4753475878</v>
      </c>
      <c r="W57" s="22">
        <f>IF(N12&lt;=W40,0,MAX(0,(-FV((N8-N11),1,-W56,V57))))</f>
        <v>2043156.3882540315</v>
      </c>
      <c r="X57" s="22">
        <f>IF(N12&lt;=X40,0,MAX(0,(-FV((N8-N11),1,-X56,W57))))</f>
        <v>2078079.2274138764</v>
      </c>
      <c r="Y57" s="22">
        <f>IF(N12&lt;=Y40,0,MAX(0,(-FV((N8-N11),1,-Y56,X57))))</f>
        <v>2114905.361307933</v>
      </c>
      <c r="Z57" s="22">
        <f>IF(N12&lt;=Z40,0,MAX(0,(-FV((N8-N11),1,-Z56,Y57))))</f>
        <v>2153738.5194992153</v>
      </c>
      <c r="AA57" s="22">
        <f>IF(N12&lt;=AA40,0,MAX(0,(-FV((N8-N11),1,-AA56,Z57))))</f>
        <v>2194688.0848119226</v>
      </c>
      <c r="AB57" s="22">
        <f>IF(N12&lt;=AB40,0,MAX(0,(-FV((N8-N11),1,-AB56,AA57))))</f>
        <v>2237869.4014341724</v>
      </c>
      <c r="AC57" s="22">
        <f>IF(N12&lt;=AC40,0,MAX(0,(-FV((N8-N11),1,-AC56,AB57))))</f>
        <v>2283404.0998123349</v>
      </c>
      <c r="AD57" s="22">
        <f>IF(N12&lt;=AD40,0,MAX(0,(-FV((N8-N11),1,-AD56,AC57))))</f>
        <v>2331420.4392521074</v>
      </c>
      <c r="AE57" s="22">
        <f>IF(N12&lt;=AE40,0,MAX(0,(-FV((N8-N11),1,-AE56,AD57))))</f>
        <v>2382053.6691913474</v>
      </c>
      <c r="AF57" s="22">
        <f>IF(N12&lt;=AF40,0,MAX(0,(-FV((N8-N11),1,-AF56,AE57))))</f>
        <v>2435446.4101622761</v>
      </c>
      <c r="AG57" s="22">
        <f>IF(N12&lt;=AG40,0,MAX(0,(-FV((N8-N11),1,-AG56,AF57))))</f>
        <v>2491749.05551612</v>
      </c>
      <c r="AH57" s="22">
        <f>IF(N12&lt;=AH40,0,MAX(0,(-FV((N8-N11),1,-AH56,AG57))))</f>
        <v>2551120.1950417487</v>
      </c>
      <c r="AI57" s="22">
        <f>IF(N12&lt;=AI40,0,MAX(0,(-FV((N8-N11),1,-AI56,AH57))))</f>
        <v>2613727.0616715243</v>
      </c>
      <c r="AJ57" s="22">
        <f>IF(N12&lt;=AJ40,0,MAX(0,(-FV((N8-N11),1,-AJ56,AI57))))</f>
        <v>2679746.0025326223</v>
      </c>
      <c r="AK57" s="22">
        <f>IF(N12&lt;=AK40,0,MAX(0,(-FV((N8-N11),1,-AK56,AJ57))))</f>
        <v>2749362.9756706501</v>
      </c>
      <c r="AL57" s="22">
        <f>IF(N12&lt;=AL40,0,MAX(0,(-FV((N8-N11),1,-AL56,AK57))))</f>
        <v>2822774.0738447006</v>
      </c>
      <c r="AM57" s="22">
        <f>IF(N12&lt;=AM40,0,MAX(0,(-FV((N8-N11),1,-AM56,AL57))))</f>
        <v>0</v>
      </c>
      <c r="AN57" s="22">
        <f>IF(N12&lt;=AN40,0,MAX(0,(-FV((N8-N11),1,-AN56,AM57))))</f>
        <v>0</v>
      </c>
      <c r="AO57" s="22">
        <f>IF(N12&lt;=AO40,0,MAX(0,(-FV((N8-N11),1,-AO56,AN57))))</f>
        <v>0</v>
      </c>
      <c r="AP57" s="22">
        <f>IF(N12&lt;=AP40,0,MAX(0,(-FV((N8-N11),1,-AP56,AO57))))</f>
        <v>0</v>
      </c>
      <c r="AQ57" s="22">
        <f>IF(N12&lt;=AQ40,0,MAX(0,(-FV((N8-N11),1,-AQ56,AP57))))</f>
        <v>0</v>
      </c>
      <c r="AR57" s="22">
        <f>IF(N12&lt;=AR40,0,MAX(0,(-FV((N8-N11),1,-AR56,AQ57))))</f>
        <v>0</v>
      </c>
      <c r="AS57" s="22">
        <f>IF(N12&lt;=AS40,0,MAX(0,(-FV((N8-N11),1,-AS56,AR57))))</f>
        <v>0</v>
      </c>
      <c r="AT57" s="22">
        <f>IF(N12&lt;=AT40,0,MAX(0,(-FV((N8-N11),1,-AT56,AS57))))</f>
        <v>0</v>
      </c>
      <c r="AU57" s="22"/>
      <c r="AV57" s="22"/>
      <c r="AW57" s="22"/>
      <c r="AX57" s="22"/>
      <c r="AY57" s="22"/>
      <c r="AZ57" s="22"/>
      <c r="BA57" s="22"/>
      <c r="BB57" s="22"/>
      <c r="BC57" s="22"/>
    </row>
    <row r="58" spans="1:66" ht="15.75" customHeight="1" x14ac:dyDescent="0.2">
      <c r="E58" s="14"/>
      <c r="F58" s="14"/>
      <c r="G58" s="14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66" ht="15.75" customHeight="1" x14ac:dyDescent="0.2"/>
    <row r="60" spans="1:66" ht="15.75" customHeight="1" x14ac:dyDescent="0.2"/>
    <row r="61" spans="1:66" ht="15.75" customHeight="1" x14ac:dyDescent="0.2">
      <c r="K61" s="43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66" ht="15.75" customHeight="1" x14ac:dyDescent="0.2">
      <c r="F62" s="44"/>
      <c r="G62" s="43"/>
      <c r="H62" s="44"/>
      <c r="I62" s="44"/>
      <c r="K62" s="43"/>
      <c r="M62" s="43"/>
      <c r="O62" s="43"/>
      <c r="Q62" s="43"/>
      <c r="S62" s="43"/>
      <c r="U62" s="43"/>
      <c r="V62" s="43"/>
      <c r="W62" s="43"/>
      <c r="X62" s="43"/>
      <c r="Y62" s="45"/>
    </row>
    <row r="63" spans="1:66" ht="15.75" customHeight="1" x14ac:dyDescent="0.2">
      <c r="F63" s="44"/>
      <c r="G63" s="21"/>
      <c r="H63" s="44"/>
      <c r="I63" s="44"/>
      <c r="J63" s="44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5"/>
    </row>
    <row r="64" spans="1:66" ht="15.75" customHeight="1" x14ac:dyDescent="0.2">
      <c r="F64" s="44"/>
      <c r="G64" s="21"/>
      <c r="H64" s="44"/>
      <c r="I64" s="44"/>
      <c r="J64" s="44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5"/>
    </row>
    <row r="65" spans="6:29" ht="15.75" customHeight="1" x14ac:dyDescent="0.2">
      <c r="F65" s="44"/>
      <c r="G65" s="21"/>
      <c r="H65" s="44"/>
      <c r="I65" s="44"/>
      <c r="J65" s="44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5"/>
    </row>
    <row r="66" spans="6:29" ht="15.75" customHeight="1" x14ac:dyDescent="0.2">
      <c r="F66" s="44"/>
      <c r="G66" s="21"/>
      <c r="H66" s="44"/>
      <c r="I66" s="44"/>
      <c r="J66" s="44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5"/>
    </row>
    <row r="67" spans="6:29" ht="15.75" customHeight="1" x14ac:dyDescent="0.2">
      <c r="F67" s="44"/>
      <c r="G67" s="21"/>
      <c r="H67" s="44"/>
      <c r="I67" s="44"/>
      <c r="J67" s="44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5"/>
    </row>
    <row r="68" spans="6:29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29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29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29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29" ht="15.75" customHeight="1" x14ac:dyDescent="0.2">
      <c r="F72" s="44"/>
      <c r="G72" s="46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6:29" ht="15.75" customHeight="1" x14ac:dyDescent="0.2">
      <c r="F73" s="44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</row>
    <row r="74" spans="6:29" ht="15.75" customHeight="1" x14ac:dyDescent="0.2">
      <c r="F74" s="44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</row>
    <row r="75" spans="6:29" ht="15.75" customHeight="1" x14ac:dyDescent="0.2">
      <c r="F75" s="44"/>
    </row>
    <row r="76" spans="6:29" ht="15.75" customHeight="1" x14ac:dyDescent="0.2"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6:29" ht="15.75" customHeight="1" x14ac:dyDescent="0.2"/>
    <row r="78" spans="6:29" ht="15.75" customHeight="1" x14ac:dyDescent="0.2"/>
    <row r="79" spans="6:29" ht="15.75" customHeight="1" x14ac:dyDescent="0.2"/>
    <row r="80" spans="6:29" ht="15.75" customHeight="1" x14ac:dyDescent="0.2"/>
    <row r="81" spans="7:11" ht="15.75" customHeight="1" x14ac:dyDescent="0.2"/>
    <row r="82" spans="7:11" ht="15.75" customHeight="1" x14ac:dyDescent="0.2"/>
    <row r="83" spans="7:11" ht="15.75" customHeight="1" x14ac:dyDescent="0.2"/>
    <row r="84" spans="7:11" ht="15.75" customHeight="1" x14ac:dyDescent="0.2"/>
    <row r="85" spans="7:11" ht="15.75" customHeight="1" x14ac:dyDescent="0.2"/>
    <row r="86" spans="7:11" ht="15.75" customHeight="1" x14ac:dyDescent="0.2"/>
    <row r="87" spans="7:11" ht="15.75" customHeight="1" x14ac:dyDescent="0.2"/>
    <row r="88" spans="7:11" ht="15.75" customHeight="1" x14ac:dyDescent="0.2"/>
    <row r="89" spans="7:11" ht="15.75" customHeight="1" x14ac:dyDescent="0.2"/>
    <row r="90" spans="7:11" ht="15.75" customHeight="1" x14ac:dyDescent="0.2"/>
    <row r="91" spans="7:11" ht="15.75" customHeight="1" x14ac:dyDescent="0.2">
      <c r="G91" s="14"/>
      <c r="H91" s="14"/>
      <c r="I91" s="14"/>
      <c r="J91" s="14"/>
      <c r="K91" s="14"/>
    </row>
    <row r="92" spans="7:11" ht="15.75" customHeight="1" x14ac:dyDescent="0.2"/>
    <row r="93" spans="7:11" ht="15.75" customHeight="1" x14ac:dyDescent="0.2"/>
    <row r="94" spans="7:11" ht="15.75" customHeight="1" x14ac:dyDescent="0.2"/>
    <row r="95" spans="7:11" ht="15.75" customHeight="1" x14ac:dyDescent="0.2"/>
    <row r="96" spans="7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A5:I5"/>
    <mergeCell ref="O2:O14"/>
    <mergeCell ref="A2:I2"/>
    <mergeCell ref="J2:N2"/>
    <mergeCell ref="A8:I8"/>
    <mergeCell ref="A11:I11"/>
    <mergeCell ref="J8:M8"/>
    <mergeCell ref="J10:M10"/>
    <mergeCell ref="J11:M11"/>
    <mergeCell ref="J13:M13"/>
    <mergeCell ref="J14:M14"/>
    <mergeCell ref="A10:I10"/>
    <mergeCell ref="A9:I9"/>
    <mergeCell ref="A12:I12"/>
    <mergeCell ref="A13:I13"/>
    <mergeCell ref="P7:AA7"/>
    <mergeCell ref="P5:AA5"/>
    <mergeCell ref="P6:AA6"/>
    <mergeCell ref="P2:AA2"/>
    <mergeCell ref="A1:AA1"/>
    <mergeCell ref="P3:AA3"/>
    <mergeCell ref="P4:AA4"/>
    <mergeCell ref="A3:I3"/>
    <mergeCell ref="A4:I4"/>
    <mergeCell ref="J3:M3"/>
    <mergeCell ref="J4:M4"/>
    <mergeCell ref="A7:I7"/>
    <mergeCell ref="J7:M7"/>
    <mergeCell ref="J5:M5"/>
    <mergeCell ref="J6:M6"/>
    <mergeCell ref="A6:I6"/>
    <mergeCell ref="P8:AA8"/>
    <mergeCell ref="A28:C28"/>
    <mergeCell ref="A27:C27"/>
    <mergeCell ref="A41:C41"/>
    <mergeCell ref="A42:C42"/>
    <mergeCell ref="A26:C26"/>
    <mergeCell ref="A25:C25"/>
    <mergeCell ref="A21:C21"/>
    <mergeCell ref="A20:C20"/>
    <mergeCell ref="A30:C30"/>
    <mergeCell ref="A31:C31"/>
    <mergeCell ref="A32:C32"/>
    <mergeCell ref="A29:C29"/>
    <mergeCell ref="A33:C33"/>
    <mergeCell ref="A36:C36"/>
    <mergeCell ref="A37:C37"/>
    <mergeCell ref="A34:C34"/>
    <mergeCell ref="A35:C35"/>
    <mergeCell ref="A43:C43"/>
    <mergeCell ref="A55:C55"/>
    <mergeCell ref="A56:C56"/>
    <mergeCell ref="A57:C57"/>
    <mergeCell ref="A40:C40"/>
    <mergeCell ref="A16:D16"/>
    <mergeCell ref="A14:I14"/>
    <mergeCell ref="E16:G16"/>
    <mergeCell ref="E39:G39"/>
    <mergeCell ref="A39:D39"/>
    <mergeCell ref="A22:C22"/>
    <mergeCell ref="A24:C24"/>
    <mergeCell ref="A23:C23"/>
    <mergeCell ref="A17:C17"/>
    <mergeCell ref="A18:C18"/>
    <mergeCell ref="A19:C19"/>
    <mergeCell ref="A15:AB15"/>
    <mergeCell ref="AA17:AB17"/>
    <mergeCell ref="AA18:AB18"/>
    <mergeCell ref="M44:Y44"/>
    <mergeCell ref="AA35:AB36"/>
    <mergeCell ref="AA30:AB30"/>
    <mergeCell ref="AA37:AB37"/>
    <mergeCell ref="AA28:AB29"/>
    <mergeCell ref="H39:AT39"/>
    <mergeCell ref="AA19:AB19"/>
    <mergeCell ref="P9:AA9"/>
    <mergeCell ref="P10:AA10"/>
    <mergeCell ref="H16:BN16"/>
    <mergeCell ref="J9:M9"/>
    <mergeCell ref="J12:M12"/>
    <mergeCell ref="P12:AA12"/>
    <mergeCell ref="P11:AA11"/>
  </mergeCells>
  <conditionalFormatting sqref="D56:AT57">
    <cfRule type="cellIs" dxfId="53" priority="1" operator="equal">
      <formula>0</formula>
    </cfRule>
  </conditionalFormatting>
  <conditionalFormatting sqref="D57:AT57">
    <cfRule type="cellIs" dxfId="52" priority="2" operator="between">
      <formula>500000</formula>
      <formula>1</formula>
    </cfRule>
  </conditionalFormatting>
  <conditionalFormatting sqref="D34:M34">
    <cfRule type="cellIs" dxfId="51" priority="3" operator="lessThan">
      <formula>0</formula>
    </cfRule>
  </conditionalFormatting>
  <conditionalFormatting sqref="N35:W35">
    <cfRule type="cellIs" dxfId="50" priority="4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L1000"/>
  <sheetViews>
    <sheetView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64" width="8.5703125" customWidth="1"/>
  </cols>
  <sheetData>
    <row r="1" spans="1:47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5.75" customHeight="1" x14ac:dyDescent="0.25">
      <c r="A3" s="72" t="s">
        <v>4</v>
      </c>
      <c r="B3" s="63"/>
      <c r="C3" s="63"/>
      <c r="D3" s="63"/>
      <c r="E3" s="63"/>
      <c r="F3" s="63"/>
      <c r="G3" s="63"/>
      <c r="H3" s="63"/>
      <c r="I3" s="63"/>
      <c r="J3" s="91" t="s">
        <v>88</v>
      </c>
      <c r="K3" s="70"/>
      <c r="L3" s="70"/>
      <c r="M3" s="71"/>
      <c r="N3" s="5">
        <v>35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15.75" customHeight="1" x14ac:dyDescent="0.25">
      <c r="A4" s="72" t="s">
        <v>72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16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73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5.75" customHeight="1" x14ac:dyDescent="0.25">
      <c r="A9" s="72" t="s">
        <v>74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75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ht="15.75" customHeight="1" x14ac:dyDescent="0.25">
      <c r="A14" s="72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.75" customHeight="1" x14ac:dyDescent="0.2">
      <c r="A15" s="6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ht="15.75" customHeight="1" x14ac:dyDescent="0.25">
      <c r="A17" s="87" t="s">
        <v>45</v>
      </c>
      <c r="B17" s="63"/>
      <c r="C17" s="63"/>
      <c r="D17" s="12">
        <v>35</v>
      </c>
      <c r="E17" s="12">
        <v>36</v>
      </c>
      <c r="F17" s="61">
        <v>37</v>
      </c>
      <c r="G17" s="61">
        <v>38</v>
      </c>
      <c r="H17" s="61">
        <v>39</v>
      </c>
      <c r="I17" s="61">
        <v>40</v>
      </c>
      <c r="J17" s="61">
        <v>41</v>
      </c>
      <c r="K17" s="61">
        <v>42</v>
      </c>
      <c r="L17" s="61">
        <v>43</v>
      </c>
      <c r="M17" s="61">
        <v>44</v>
      </c>
      <c r="N17" s="61">
        <v>45</v>
      </c>
      <c r="O17" s="61">
        <v>46</v>
      </c>
      <c r="P17" s="61">
        <v>47</v>
      </c>
      <c r="Q17" s="61">
        <v>48</v>
      </c>
      <c r="R17" s="61">
        <v>49</v>
      </c>
      <c r="S17" s="61">
        <v>50</v>
      </c>
      <c r="T17" s="61">
        <v>51</v>
      </c>
      <c r="U17" s="61">
        <v>52</v>
      </c>
      <c r="V17" s="61">
        <v>53</v>
      </c>
      <c r="W17" s="61">
        <v>54</v>
      </c>
      <c r="X17" s="61">
        <v>55</v>
      </c>
      <c r="Y17" s="61">
        <v>56</v>
      </c>
      <c r="Z17" s="61">
        <v>57</v>
      </c>
      <c r="AA17" s="84">
        <v>58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47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47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47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47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47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7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47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47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47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47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47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47" ht="15.75" customHeight="1" x14ac:dyDescent="0.25">
      <c r="A30" s="78" t="s">
        <v>57</v>
      </c>
      <c r="B30" s="63"/>
      <c r="C30" s="63"/>
      <c r="D30" s="13">
        <f>ABS(PV(N8,1,0,E30))</f>
        <v>261830.02771961564</v>
      </c>
      <c r="E30" s="13">
        <f>ABS(PV(N8,1,0,F30))</f>
        <v>280812.70472928777</v>
      </c>
      <c r="F30" s="13">
        <f>ABS(PV(N8,1,0,G30))</f>
        <v>301171.62582216115</v>
      </c>
      <c r="G30" s="13">
        <f>ABS(PV(N8,1,0,H30))</f>
        <v>323006.56869426783</v>
      </c>
      <c r="H30" s="13">
        <f>ABS(PV(N8,1,0,I30))</f>
        <v>346424.54492460226</v>
      </c>
      <c r="I30" s="13">
        <f>ABS(PV(N8,1,0,J30))</f>
        <v>371540.32443163591</v>
      </c>
      <c r="J30" s="13">
        <f>ABS(PV(N8,1,0,K30))</f>
        <v>398476.99795292952</v>
      </c>
      <c r="K30" s="13">
        <f>ABS(PV(N8,1,0,L30))</f>
        <v>427366.58030451689</v>
      </c>
      <c r="L30" s="13">
        <f>ABS(PV(N8,1,0,M30))</f>
        <v>458350.65737659438</v>
      </c>
      <c r="M30" s="13">
        <f>ABS(PV(N8,1,0,N30))</f>
        <v>491581.0800363975</v>
      </c>
      <c r="N30" s="13">
        <f>ABS(PV(N8,1,0,O30))</f>
        <v>527220.70833903633</v>
      </c>
      <c r="O30" s="13">
        <f>ABS(PV(N8,1,0,P30))</f>
        <v>565444.20969361649</v>
      </c>
      <c r="P30" s="13">
        <f>ABS(PV(N8,1,0,Q30))</f>
        <v>606438.91489640367</v>
      </c>
      <c r="Q30" s="13">
        <f>ABS(PV(N8,1,0,R30))</f>
        <v>650405.73622639291</v>
      </c>
      <c r="R30" s="13">
        <f>ABS(PV(N8,1,0,S30))</f>
        <v>697560.15210280637</v>
      </c>
      <c r="S30" s="13">
        <f>ABS(PV(N8,1,0,T30))</f>
        <v>748133.26313025982</v>
      </c>
      <c r="T30" s="13">
        <f>ABS(PV(N8,1,0,U30))</f>
        <v>802372.92470720364</v>
      </c>
      <c r="U30" s="13">
        <f>ABS(PV(N8,1,0,V30))</f>
        <v>860544.96174847591</v>
      </c>
      <c r="V30" s="13">
        <f>ABS(PV(N8,1,0,W30))</f>
        <v>922934.47147524043</v>
      </c>
      <c r="W30" s="13">
        <f>ABS(PV(N8,1,0,X30))</f>
        <v>989847.22065719531</v>
      </c>
      <c r="X30" s="13">
        <f>ABS(PV(N8,1,0,Y30))</f>
        <v>1061611.144154842</v>
      </c>
      <c r="Y30" s="13">
        <f>ABS(PV(N8,1,0,Z30))</f>
        <v>1138577.9521060681</v>
      </c>
      <c r="Z30" s="13">
        <f>ABS(PV(N8,1,0,AA30))</f>
        <v>1221124.8536337581</v>
      </c>
      <c r="AA30" s="73">
        <f t="array" ref="AA30">NPV(N9,G42:AR42)</f>
        <v>1309656.4055222056</v>
      </c>
      <c r="AB30" s="63"/>
      <c r="AC30" s="14"/>
    </row>
    <row r="31" spans="1:47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47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NPV(N9,0,0,0,0,0,0,0,0,0,0,0,0,0,0,0,0,0,K59:AR59)</f>
        <v>193150.54326542321</v>
      </c>
      <c r="O32" s="22">
        <f t="array" ref="O32">NPV(N9,0,0,0,0,0,0,0,0,0,0,0,0,0,0,0,0,K58:AR58)</f>
        <v>226539.46746631167</v>
      </c>
      <c r="P32" s="22">
        <f t="array" ref="P32">NPV(N9,0,0,0,0,0,0,0,0,0,0,0,0,0,0,0,K57:AR57)</f>
        <v>263367.22765938193</v>
      </c>
      <c r="Q32" s="22">
        <f t="array" ref="Q32">NPV(N9,0,0,0,0,0,0,0,0,0,0,0,0,0,0,K56:AR56)</f>
        <v>303904.50748235924</v>
      </c>
      <c r="R32" s="22">
        <f t="array" ref="R32">NPV(N9,0,0,0,0,0,0,0,0,0,0,0,0,0,K55:AR55)</f>
        <v>351233.86325021205</v>
      </c>
      <c r="S32" s="22">
        <f t="array" ref="S32">NPV(N9,0,0,0,0,0,0,0,0,0,0,0,0,K54:AR54)</f>
        <v>413199.21328512422</v>
      </c>
      <c r="T32" s="22">
        <f t="array" ref="T32">NPV(N9,0,0,0,0,0,0,0,0,0,0,0,K53:AR53)</f>
        <v>482674.17299271876</v>
      </c>
      <c r="U32" s="21">
        <f t="array" ref="U32">NPV(N9,0,0,0,0,0,0,0,0,0,0,K52:AR52)</f>
        <v>559000.28342590888</v>
      </c>
      <c r="V32" s="22">
        <f t="array" ref="V32">NPV(N9,0,0,0,0,0,0,0,0,0,K51:AR51)</f>
        <v>630762.96507623058</v>
      </c>
      <c r="W32" s="22">
        <f t="array" ref="W32">NPV(N9,0,0,0,0,0,0,0,0,K50:AR50)</f>
        <v>709188.70062986936</v>
      </c>
      <c r="X32" s="22">
        <f t="array" ref="X32">NPV(N9,D47:AR47)</f>
        <v>1192854.2773221442</v>
      </c>
      <c r="Y32" s="22">
        <f t="array" ref="Y32">NPV(N9,E46:AR46)</f>
        <v>1234366.092139689</v>
      </c>
      <c r="Z32" s="22">
        <f t="array" ref="Z32">NPV(N9,F45:AR45)</f>
        <v>1273348.4434443505</v>
      </c>
      <c r="AA32" s="13"/>
    </row>
    <row r="33" spans="1:64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64" ht="15.75" customHeight="1" x14ac:dyDescent="0.2">
      <c r="A34" s="88" t="s">
        <v>60</v>
      </c>
      <c r="B34" s="63"/>
      <c r="C34" s="63"/>
      <c r="D34" s="13">
        <f t="shared" ref="D34:M34" si="5">D31-D30</f>
        <v>-254201.49771961564</v>
      </c>
      <c r="E34" s="13">
        <f t="shared" si="5"/>
        <v>-264623.67472928774</v>
      </c>
      <c r="F34" s="13">
        <f t="shared" si="5"/>
        <v>-275534.06582216115</v>
      </c>
      <c r="G34" s="13">
        <f t="shared" si="5"/>
        <v>-287920.4786942678</v>
      </c>
      <c r="H34" s="13">
        <f t="shared" si="5"/>
        <v>-301889.92492460227</v>
      </c>
      <c r="I34" s="13">
        <f t="shared" si="5"/>
        <v>-317557.17443163588</v>
      </c>
      <c r="J34" s="13">
        <f t="shared" si="5"/>
        <v>-334384.26795292954</v>
      </c>
      <c r="K34" s="13">
        <f t="shared" si="5"/>
        <v>-353164.27030451689</v>
      </c>
      <c r="L34" s="13">
        <f t="shared" si="5"/>
        <v>-374038.76737659436</v>
      </c>
      <c r="M34" s="13">
        <f t="shared" si="5"/>
        <v>-397159.61003639747</v>
      </c>
      <c r="X34" s="15"/>
      <c r="Y34" s="15"/>
      <c r="Z34" s="15"/>
      <c r="AA34" s="15"/>
    </row>
    <row r="35" spans="1:64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-334070.16507361311</v>
      </c>
      <c r="O35" s="13">
        <f t="shared" si="6"/>
        <v>-338904.74222730484</v>
      </c>
      <c r="P35" s="13">
        <f t="shared" si="6"/>
        <v>-343071.68723702175</v>
      </c>
      <c r="Q35" s="13">
        <f t="shared" si="6"/>
        <v>-346501.22874403367</v>
      </c>
      <c r="R35" s="13">
        <f t="shared" si="6"/>
        <v>-346326.28885259433</v>
      </c>
      <c r="S35" s="13">
        <f t="shared" si="6"/>
        <v>-334934.0498451356</v>
      </c>
      <c r="T35" s="13">
        <f t="shared" si="6"/>
        <v>-319698.75171448488</v>
      </c>
      <c r="U35" s="13">
        <f t="shared" si="6"/>
        <v>-301544.67832256702</v>
      </c>
      <c r="V35" s="13">
        <f t="shared" si="6"/>
        <v>-292171.50639900984</v>
      </c>
      <c r="W35" s="13">
        <f t="shared" si="6"/>
        <v>-280658.52002732595</v>
      </c>
      <c r="X35" s="15"/>
      <c r="Y35" s="15"/>
      <c r="Z35" s="15"/>
      <c r="AA35" s="77" t="s">
        <v>62</v>
      </c>
      <c r="AB35" s="63"/>
    </row>
    <row r="36" spans="1:64" ht="15.75" customHeight="1" x14ac:dyDescent="0.2">
      <c r="A36" s="63"/>
      <c r="B36" s="63"/>
      <c r="C36" s="63"/>
      <c r="AA36" s="63"/>
      <c r="AB36" s="63"/>
    </row>
    <row r="37" spans="1:64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64" ht="15.75" customHeight="1" x14ac:dyDescent="0.2"/>
    <row r="39" spans="1:64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64" ht="15.75" customHeight="1" x14ac:dyDescent="0.2">
      <c r="A40" s="87" t="s">
        <v>45</v>
      </c>
      <c r="B40" s="63"/>
      <c r="C40" s="63"/>
      <c r="D40" s="11">
        <v>55</v>
      </c>
      <c r="E40" s="11">
        <v>56</v>
      </c>
      <c r="F40" s="60">
        <v>57</v>
      </c>
      <c r="G40" s="60">
        <v>58</v>
      </c>
      <c r="H40" s="60">
        <v>59</v>
      </c>
      <c r="I40" s="60">
        <v>60</v>
      </c>
      <c r="J40" s="60">
        <v>61</v>
      </c>
      <c r="K40" s="60">
        <v>62</v>
      </c>
      <c r="L40" s="60">
        <v>63</v>
      </c>
      <c r="M40" s="60">
        <v>64</v>
      </c>
      <c r="N40" s="60">
        <v>65</v>
      </c>
      <c r="O40" s="60">
        <v>66</v>
      </c>
      <c r="P40" s="60">
        <v>67</v>
      </c>
      <c r="Q40" s="60">
        <v>68</v>
      </c>
      <c r="R40" s="60">
        <v>69</v>
      </c>
      <c r="S40" s="60">
        <v>70</v>
      </c>
      <c r="T40" s="60">
        <v>71</v>
      </c>
      <c r="U40" s="60">
        <v>72</v>
      </c>
      <c r="V40" s="60">
        <v>73</v>
      </c>
      <c r="W40" s="60">
        <v>74</v>
      </c>
      <c r="X40" s="60">
        <v>75</v>
      </c>
      <c r="Y40" s="60">
        <v>76</v>
      </c>
      <c r="Z40" s="60">
        <v>77</v>
      </c>
      <c r="AA40" s="60">
        <v>78</v>
      </c>
      <c r="AB40" s="60">
        <v>79</v>
      </c>
      <c r="AC40" s="60">
        <v>80</v>
      </c>
      <c r="AD40" s="60">
        <v>81</v>
      </c>
      <c r="AE40" s="60">
        <v>82</v>
      </c>
      <c r="AF40" s="60">
        <v>83</v>
      </c>
      <c r="AG40" s="60">
        <v>84</v>
      </c>
      <c r="AH40" s="60">
        <v>85</v>
      </c>
      <c r="AI40" s="60">
        <v>86</v>
      </c>
      <c r="AJ40" s="60">
        <v>87</v>
      </c>
      <c r="AK40" s="60">
        <v>88</v>
      </c>
      <c r="AL40" s="60">
        <v>89</v>
      </c>
      <c r="AM40" s="60">
        <v>90</v>
      </c>
      <c r="AN40" s="60">
        <v>91</v>
      </c>
      <c r="AO40" s="60">
        <v>92</v>
      </c>
      <c r="AP40" s="60">
        <v>93</v>
      </c>
      <c r="AQ40" s="60">
        <v>94</v>
      </c>
      <c r="AR40" s="60">
        <v>95</v>
      </c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</row>
    <row r="41" spans="1:64" ht="15.75" customHeight="1" x14ac:dyDescent="0.2">
      <c r="A41" s="78" t="s">
        <v>65</v>
      </c>
      <c r="B41" s="63"/>
      <c r="C41" s="63"/>
      <c r="D41" s="4" t="s">
        <v>84</v>
      </c>
      <c r="E41" s="4" t="s">
        <v>84</v>
      </c>
      <c r="F41" s="4" t="s">
        <v>84</v>
      </c>
      <c r="G41" s="14">
        <f>IF(N12&lt;=G40,0,AA19)</f>
        <v>76429.183999999994</v>
      </c>
      <c r="H41" s="14">
        <f>IF(N12&lt;=H40,0,AA19)</f>
        <v>76429.183999999994</v>
      </c>
      <c r="I41" s="14">
        <f>IF(N12&lt;=I40,0,AA19)</f>
        <v>76429.183999999994</v>
      </c>
      <c r="J41" s="14">
        <f>IF(N12&lt;=J40,0,AA19)</f>
        <v>76429.183999999994</v>
      </c>
      <c r="K41" s="14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2">
        <f>IF(N12&lt;=AC40,0,AA19)</f>
        <v>76429.183999999994</v>
      </c>
      <c r="AD41" s="22">
        <f>IF(N12&lt;=AD40,0,AA19)</f>
        <v>76429.183999999994</v>
      </c>
      <c r="AE41" s="22">
        <f>IF(N12&lt;=AE40,0,AA19)</f>
        <v>76429.183999999994</v>
      </c>
      <c r="AF41" s="28">
        <f>IF(N12&lt;=AF40,0,AA19)</f>
        <v>76429.183999999994</v>
      </c>
      <c r="AG41" s="28">
        <f>IF(N12&lt;=AG40,0,AA19)</f>
        <v>76429.183999999994</v>
      </c>
      <c r="AH41" s="28">
        <f>IF(N12&lt;=AH40,0,AA19)</f>
        <v>76429.183999999994</v>
      </c>
      <c r="AI41" s="28">
        <f>IF(N12&lt;=AI40,0,AA19)</f>
        <v>76429.183999999994</v>
      </c>
      <c r="AJ41" s="28">
        <f>IF(N12&lt;=AJ40,0,AA19)</f>
        <v>76429.183999999994</v>
      </c>
      <c r="AK41" s="28">
        <f>IF(N12&lt;=AK40,0,AA19)</f>
        <v>0</v>
      </c>
      <c r="AL41" s="28">
        <f>IF(N12&lt;=AL40,0,AA19)</f>
        <v>0</v>
      </c>
      <c r="AM41" s="28">
        <f>IF(N12&lt;=AM40,0,AA19)</f>
        <v>0</v>
      </c>
      <c r="AN41" s="28">
        <f>IF(N12&lt;=AN40,0,AA19)</f>
        <v>0</v>
      </c>
      <c r="AO41" s="28">
        <f>IF(N12&lt;=AO40,0,AA19)</f>
        <v>0</v>
      </c>
      <c r="AP41" s="28">
        <f>IF(N12&lt;=AP40,0,AA19)</f>
        <v>0</v>
      </c>
      <c r="AQ41" s="28">
        <f>IF(N12&lt;=AQ40,0,AA19)</f>
        <v>0</v>
      </c>
      <c r="AR41" s="28">
        <f>IF(N12&lt;=AR40,0,AA19)</f>
        <v>0</v>
      </c>
      <c r="AS41" s="31"/>
      <c r="AT41" s="31"/>
      <c r="AU41" s="31"/>
      <c r="AV41" s="31"/>
      <c r="AW41" s="29"/>
      <c r="AX41" s="29"/>
      <c r="AY41" s="29"/>
      <c r="AZ41" s="29"/>
      <c r="BA41" s="29"/>
      <c r="BB41" s="29"/>
      <c r="BC41" s="29"/>
      <c r="BD41" s="29"/>
      <c r="BE41" s="29"/>
      <c r="BF41" s="29"/>
    </row>
    <row r="42" spans="1:64" ht="15.75" customHeight="1" x14ac:dyDescent="0.2">
      <c r="A42" s="78" t="s">
        <v>66</v>
      </c>
      <c r="B42" s="63"/>
      <c r="C42" s="63"/>
      <c r="D42" s="4" t="s">
        <v>84</v>
      </c>
      <c r="E42" s="4" t="s">
        <v>84</v>
      </c>
      <c r="F42" s="4" t="s">
        <v>84</v>
      </c>
      <c r="G42" s="14">
        <f>IF(N12&lt;=G40,0,AA19)</f>
        <v>76429.183999999994</v>
      </c>
      <c r="H42" s="14">
        <f>IF(N12&lt;=H40,0,G42*(1-N11+N10))</f>
        <v>75053.458687999999</v>
      </c>
      <c r="I42" s="14">
        <f>IF(N12&lt;=I40,0,H42*(1-N11+N10))</f>
        <v>73702.496431616004</v>
      </c>
      <c r="J42" s="14">
        <f>IF(N12&lt;=J40,0,I42*(1-N11+N10))</f>
        <v>72375.851495846917</v>
      </c>
      <c r="K42" s="14">
        <f>IF(N12&lt;=K40,0,J42*(1-N11+N10))</f>
        <v>71073.086168921669</v>
      </c>
      <c r="L42" s="14">
        <f>IF(N12&lt;=L40,0,K42*(1-N11+N10))</f>
        <v>69793.770617881077</v>
      </c>
      <c r="M42" s="14">
        <f>IF(N12&lt;=M40,0,L42*(1-N11+N10))</f>
        <v>68537.482746759211</v>
      </c>
      <c r="N42" s="14">
        <f>IF(N12&lt;=N40,0,M42*(1-N11+N10))</f>
        <v>67303.808057317539</v>
      </c>
      <c r="O42" s="14">
        <f>IF(N12&lt;=O40,0,N42*(1-N11+N10))</f>
        <v>66092.33951228582</v>
      </c>
      <c r="P42" s="14">
        <f>IF(N12&lt;=P40,0,O42*(1-N11+N10))</f>
        <v>64902.677401064677</v>
      </c>
      <c r="Q42" s="14">
        <f>IF(N12&lt;=Q40,0,P42*(1-N11+N10))</f>
        <v>63734.429207845511</v>
      </c>
      <c r="R42" s="14">
        <f>IF(N12&lt;=R40,0,Q42*(1-N11+N10))</f>
        <v>62587.209482104292</v>
      </c>
      <c r="S42" s="14">
        <f>IF(N12&lt;=S40,0,R42*(1-N11+N10))</f>
        <v>61460.639711426411</v>
      </c>
      <c r="T42" s="14">
        <f>IF(N12&lt;=T40,0,S42*(1-N11+N10))</f>
        <v>60354.348196620733</v>
      </c>
      <c r="U42" s="14">
        <f>IF(N12&lt;=U40,0,T42*(1-N11+N10))</f>
        <v>59267.969929081555</v>
      </c>
      <c r="V42" s="14">
        <f>IF(N12&lt;=V40,0,U42*(1-N11+N10))</f>
        <v>58201.146470358086</v>
      </c>
      <c r="W42" s="14">
        <f>IF(N12&lt;=W40,0,V42*(1-N11+N10))</f>
        <v>57153.525833891639</v>
      </c>
      <c r="X42" s="14">
        <f>IF(N12&lt;=X40,0,W42*(1-N11+N10))</f>
        <v>56124.762368881587</v>
      </c>
      <c r="Y42" s="14">
        <f>IF(N12&lt;=Y40,0,X42*(1-N11+N10))</f>
        <v>55114.516646241718</v>
      </c>
      <c r="Z42" s="14">
        <f>IF(N12&lt;=Z40,0,Y42*(1-N11+N10))</f>
        <v>54122.455346609364</v>
      </c>
      <c r="AA42" s="14">
        <f>IF(N12&lt;=AA40,0,Z42*(1-N11+N10))</f>
        <v>53148.251150370394</v>
      </c>
      <c r="AB42" s="14">
        <f>IF(N12&lt;=AB40,0,AA42*(1-N11+N10))</f>
        <v>52191.582629663724</v>
      </c>
      <c r="AC42" s="14">
        <f>IF(N12&lt;=AC40,0,AB42*(1-N11+N10))</f>
        <v>51252.134142329778</v>
      </c>
      <c r="AD42" s="14">
        <f>IF(N12&lt;=AD40,0,AC42*(1-N11+N10))</f>
        <v>50329.595727767839</v>
      </c>
      <c r="AE42" s="14">
        <f>IF(N12&lt;=AE40,0,AD42*(1-N11+N10))</f>
        <v>49423.663004668015</v>
      </c>
      <c r="AF42" s="28">
        <f>IF(N12&lt;=AF40,0,AE42*(1-N11+N10))</f>
        <v>48534.037070583989</v>
      </c>
      <c r="AG42" s="28">
        <f>IF(N12&lt;=AG40,0,AF42*(1-N11+N10))</f>
        <v>47660.424403313475</v>
      </c>
      <c r="AH42" s="30">
        <f>IF(N12&lt;=AH40,0,AG42*(1-N11+N10))</f>
        <v>46802.536764053832</v>
      </c>
      <c r="AI42" s="28">
        <f>IF(N12&lt;=AI40,0,AH42*(1-N11+N10))</f>
        <v>45960.091102300859</v>
      </c>
      <c r="AJ42" s="28">
        <f>IF(N12&lt;=AJ40,0,AI42*(1-N11+N10))</f>
        <v>45132.809462459445</v>
      </c>
      <c r="AK42" s="28">
        <f>IF(N12&lt;=AK40,0,AJ42*(1-N11+N10))</f>
        <v>0</v>
      </c>
      <c r="AL42" s="28">
        <f>IF(N12&lt;=AL40,0,AK42*(1-N11+N10))</f>
        <v>0</v>
      </c>
      <c r="AM42" s="28">
        <f>IF(N12&lt;=AM40,0,AL42*(1-N11+N10))</f>
        <v>0</v>
      </c>
      <c r="AN42" s="28">
        <f>IF(N12&lt;=AN40,0,AM42*(1-N11+N10))</f>
        <v>0</v>
      </c>
      <c r="AO42" s="28">
        <f>IF(N12&lt;=AO40,0,AN42*(1-N11+N10))</f>
        <v>0</v>
      </c>
      <c r="AP42" s="28">
        <f>IF(N12&lt;=AP40,0,AO42*(1-N11+N10))</f>
        <v>0</v>
      </c>
      <c r="AQ42" s="28">
        <f>IF(N12&lt;=AQ40,0,AP42*(1-N11+N10))</f>
        <v>0</v>
      </c>
      <c r="AR42" s="28">
        <f>IF(N12&lt;=AR40,0,AQ42*(1-N11+N10))</f>
        <v>0</v>
      </c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</row>
    <row r="43" spans="1:64" ht="15.75" customHeight="1" x14ac:dyDescent="0.2">
      <c r="A43" s="65"/>
      <c r="B43" s="63"/>
      <c r="C43" s="6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10"/>
      <c r="BD43" s="10"/>
      <c r="BE43" s="10"/>
      <c r="BF43" s="10"/>
      <c r="BG43" s="10"/>
      <c r="BH43" s="10"/>
      <c r="BI43" s="10"/>
      <c r="BJ43" s="10"/>
      <c r="BK43" s="10"/>
      <c r="BL43" s="10"/>
    </row>
    <row r="44" spans="1:64" ht="15.75" customHeight="1" x14ac:dyDescent="0.2">
      <c r="A44" s="33" t="s">
        <v>67</v>
      </c>
      <c r="B44" s="33" t="s">
        <v>17</v>
      </c>
      <c r="C44" s="33" t="s">
        <v>68</v>
      </c>
      <c r="X44" s="35"/>
      <c r="Y44" s="36"/>
      <c r="AN44" s="37"/>
      <c r="AO44" s="37"/>
      <c r="AP44" s="37"/>
      <c r="AQ44" s="37"/>
      <c r="AR44" s="37"/>
      <c r="AS44" s="38"/>
      <c r="AT44" s="38"/>
      <c r="AU44" s="38"/>
    </row>
    <row r="45" spans="1:64" ht="15.75" customHeight="1" x14ac:dyDescent="0.2">
      <c r="A45" s="39">
        <v>22</v>
      </c>
      <c r="B45" s="40">
        <f>(A45*N7)</f>
        <v>0.70399999999999996</v>
      </c>
      <c r="C45" s="41">
        <f>(((LARGE(P16:Y19,1))+(LARGE(P19:Y19,2))+(LARGE(P16:Y19,3)))/3)*(B45)</f>
        <v>73106.175999999992</v>
      </c>
      <c r="D45" s="22" t="s">
        <v>84</v>
      </c>
      <c r="E45" s="22" t="s">
        <v>84</v>
      </c>
      <c r="F45" s="22">
        <f>IF(N12&lt;=F40,0,C45)</f>
        <v>73106.175999999992</v>
      </c>
      <c r="G45" s="22">
        <f>IF(N12&lt;=G40,0,F45*(1-N11+N10))</f>
        <v>71790.264831999986</v>
      </c>
      <c r="H45" s="22">
        <f>IF(N12&lt;=H40,0,G45*(1-N11+N10))</f>
        <v>70498.04006502399</v>
      </c>
      <c r="I45" s="22">
        <f>IF(N12&lt;=I3,0,H45*(1-N11+N10))</f>
        <v>69229.075343853561</v>
      </c>
      <c r="J45" s="22">
        <f>IF(N12&lt;=J40,0,I45*(1-N11+N10))</f>
        <v>67982.951987664201</v>
      </c>
      <c r="K45" s="22">
        <f>IF(N12&lt;=K40,0,J45*(1-N11+N10))</f>
        <v>66759.258851886247</v>
      </c>
      <c r="L45" s="22">
        <f>IF(N12&lt;=L40,0,K45*(1-N11+N10))</f>
        <v>65557.5921925523</v>
      </c>
      <c r="M45" s="22">
        <f>IF(N12&lt;=M40,0,L45*(1-N11+N10))</f>
        <v>64377.555533086357</v>
      </c>
      <c r="N45" s="22">
        <f>IF(N12&lt;=N40,0,M45*(1-N11+N10))</f>
        <v>63218.759533490804</v>
      </c>
      <c r="O45" s="22">
        <f>IF(N12&lt;=O40,0,N45*(1-N11+N10))</f>
        <v>62080.821861887969</v>
      </c>
      <c r="P45" s="22">
        <f>IF(N12&lt;=P40,0,O45*(1-N11+N10))</f>
        <v>60963.367068373984</v>
      </c>
      <c r="Q45" s="22">
        <f>IF(N12&lt;=Q40,0,P45*(1-N11+N10))</f>
        <v>59866.02646114325</v>
      </c>
      <c r="R45" s="22">
        <f>IF(N12&lt;=R40,0,Q45*(1-N11+N10))</f>
        <v>58788.437984842669</v>
      </c>
      <c r="S45" s="22">
        <f>IF(N12&lt;=S40,0,R45*(1-N11+N10))</f>
        <v>57730.246101115503</v>
      </c>
      <c r="T45" s="22">
        <f>IF(N12&lt;=T40,0,S45*(1-N11+N10))</f>
        <v>56691.101671295422</v>
      </c>
      <c r="U45" s="22">
        <f>IF(N12&lt;=U40,0,T45*(1-N11+N10))</f>
        <v>55670.661841212102</v>
      </c>
      <c r="V45" s="22">
        <f>IF(N12&lt;=V40,0,U45*(1-N11+N10))</f>
        <v>54668.589928070287</v>
      </c>
      <c r="W45" s="22">
        <f>IF(N12&lt;=W40,0,V45*(1-N11+N10))</f>
        <v>53684.555309365023</v>
      </c>
      <c r="X45" s="22">
        <f>IF(N12&lt;=X40,0,W45*(1-N11+N10))</f>
        <v>52718.233313796452</v>
      </c>
      <c r="Y45" s="22">
        <f>IF(N12&lt;=Y40,0,X45*(1-N11+N10))</f>
        <v>51769.305114148112</v>
      </c>
      <c r="Z45" s="22">
        <f>IF(N12&lt;=Z40,0,Y45*(1-N11+N10))</f>
        <v>50837.457622093447</v>
      </c>
      <c r="AA45" s="22">
        <f>IF(N12&lt;=AA40,0,Z45*(1-N11+N10))</f>
        <v>49922.383384895766</v>
      </c>
      <c r="AB45" s="22">
        <f>IF(N12&lt;=AB40,0,AA45*(1-N11+N10))</f>
        <v>49023.780483967639</v>
      </c>
      <c r="AC45" s="22">
        <f>IF(N12&lt;=AC40,0,AB45*(1-N11+N10))</f>
        <v>48141.352435256224</v>
      </c>
      <c r="AD45" s="22">
        <f>IF(N12&lt;=AD40,0,AC45*(1-N11+N10))</f>
        <v>47274.808091421612</v>
      </c>
      <c r="AE45" s="22">
        <f>IF(N12&lt;=AE40,0,AD45*(1-N11+N10))</f>
        <v>46423.861545776024</v>
      </c>
      <c r="AF45" s="22">
        <f>IF(N12&lt;=AF40,0,AE45*(1-N11+N10))</f>
        <v>45588.232037952053</v>
      </c>
      <c r="AG45" s="22">
        <f>IF(N12&lt;=AG40,0,AF45*(1-N11+N10))</f>
        <v>44767.643861268916</v>
      </c>
      <c r="AH45" s="22">
        <f>IF(N12&lt;=AH40,0,AG45*(1-N11+N10))</f>
        <v>43961.826271766076</v>
      </c>
      <c r="AI45" s="22">
        <f>IF(N12&lt;=AI40,0,AH45*(1-N11+N10))</f>
        <v>43170.513398874289</v>
      </c>
      <c r="AJ45" s="22">
        <f>IF(N12&lt;=AJ40,0,AI45*(1-N11+N10))</f>
        <v>42393.444157694554</v>
      </c>
      <c r="AK45" s="22">
        <f>IF(N12&lt;=AK40,0,AJ45*(1-N11+N10))</f>
        <v>0</v>
      </c>
      <c r="AL45" s="22">
        <f>IF(N12&lt;=AL40,0,AK45*(1-N11+N10))</f>
        <v>0</v>
      </c>
      <c r="AM45" s="22">
        <f>IF(N12&lt;=AM40,0,AL45*(1-N11+N10))</f>
        <v>0</v>
      </c>
      <c r="AN45" s="22">
        <f>IF(N12&lt;=AN40,0,AM45*(1-N11+N10))</f>
        <v>0</v>
      </c>
      <c r="AO45" s="22">
        <f>IF(N12&lt;=AO40,0,AN45*(1-N11+N10))</f>
        <v>0</v>
      </c>
      <c r="AP45" s="22">
        <f>IF(N12&lt;=AP40,0,AO45*(1-N11+N10))</f>
        <v>0</v>
      </c>
      <c r="AQ45" s="22">
        <f>IF(N12&lt;=AQ40,0,AP45*(1-N11+N10))</f>
        <v>0</v>
      </c>
      <c r="AR45" s="22">
        <f>IF(N12&lt;=AR40,0,AQ45*(1-N11+N10))</f>
        <v>0</v>
      </c>
      <c r="AS45" s="13"/>
      <c r="AT45" s="13"/>
      <c r="AU45" s="13"/>
      <c r="AV45" s="13"/>
      <c r="AW45" s="13"/>
    </row>
    <row r="46" spans="1:64" ht="15.75" customHeight="1" x14ac:dyDescent="0.2">
      <c r="A46" s="39">
        <v>21</v>
      </c>
      <c r="B46" s="40">
        <f>(A46*N7)</f>
        <v>0.67200000000000004</v>
      </c>
      <c r="C46" s="41">
        <f>(((LARGE(O19:X19,1))+(LARGE(O19:X19,2))+(LARGE(O19:X19,3)))/3)*(B46)</f>
        <v>69783.168000000005</v>
      </c>
      <c r="D46" s="22" t="s">
        <v>84</v>
      </c>
      <c r="E46" s="22">
        <f>IF(N12&lt;=E40,0,C46)</f>
        <v>69783.168000000005</v>
      </c>
      <c r="F46" s="22">
        <f>IF(N12&lt;=F40,0,E46*(1-N11+N10))</f>
        <v>68527.070976000003</v>
      </c>
      <c r="G46" s="22">
        <f>IF(N12&lt;=G40,0,F46*(1-N11+N10))</f>
        <v>67293.583698432005</v>
      </c>
      <c r="H46" s="22">
        <f>IF(N12&lt;=H40,0,G46*(1-N11+N10))</f>
        <v>66082.299191860235</v>
      </c>
      <c r="I46" s="22">
        <f>IF(N12&lt;=I40,0,H46*(1-N11+N10))</f>
        <v>64892.817806406747</v>
      </c>
      <c r="J46" s="22">
        <f>IF(N12&lt;=J40,0,I46*(1-N11+N10))</f>
        <v>63724.747085891424</v>
      </c>
      <c r="K46" s="22">
        <f>IF(N12&lt;=K40,0,J46*(1-N11+N10))</f>
        <v>62577.701638345374</v>
      </c>
      <c r="L46" s="22">
        <f>IF(N12&lt;=L40,0,K46*(1-N11+N10))</f>
        <v>61451.303008855153</v>
      </c>
      <c r="M46" s="22">
        <f>IF(N12&lt;=M40,0,L46*(1-N11+N10))</f>
        <v>60345.179554695758</v>
      </c>
      <c r="N46" s="22">
        <f>IF(N12&lt;=N40,0,M46*(1-N11+N10))</f>
        <v>59258.966322711232</v>
      </c>
      <c r="O46" s="22">
        <f>IF(N12&lt;=O40,0,N46*(1-N11+N10))</f>
        <v>58192.304928902427</v>
      </c>
      <c r="P46" s="22">
        <f>IF(N12&lt;=P40,0,O46*(1-N11+N10))</f>
        <v>57144.84344018218</v>
      </c>
      <c r="Q46" s="22">
        <f>IF(N12&lt;=Q40,0,P46*(1-N11+N10))</f>
        <v>56116.236258258898</v>
      </c>
      <c r="R46" s="22">
        <f>IF(N12&lt;=R40,0,Q46*(1-N11+N10))</f>
        <v>55106.144005610236</v>
      </c>
      <c r="S46" s="22">
        <f>IF(N12&lt;=S40,0,R46*(1-N11+N10))</f>
        <v>54114.233413509253</v>
      </c>
      <c r="T46" s="22">
        <f>IF(N12&lt;=T40,0,S46*(1-N11+N10))</f>
        <v>53140.177212066083</v>
      </c>
      <c r="U46" s="22">
        <f>IF(N12&lt;=U40,0,T46*(1-N11+N10))</f>
        <v>52183.654022248891</v>
      </c>
      <c r="V46" s="22">
        <f>IF(N12&lt;=V40,0,U46*(1-N11+N10))</f>
        <v>51244.348249848408</v>
      </c>
      <c r="W46" s="22">
        <f>IF(N12&lt;=W40,0,V46*(1-N11+N10))</f>
        <v>50321.949981351136</v>
      </c>
      <c r="X46" s="22">
        <f>IF(N12&lt;=X40,0,W46*(1-N11+N10))</f>
        <v>49416.154881686816</v>
      </c>
      <c r="Y46" s="22">
        <f>IF(N12&lt;=Y40,0,X46*(1-N11+N10))</f>
        <v>48526.664093816449</v>
      </c>
      <c r="Z46" s="22">
        <f>IF(N12&lt;=Z40,0,Y46*(1-N11+N10))</f>
        <v>47653.184140127749</v>
      </c>
      <c r="AA46" s="22">
        <f>IF(N12&lt;=AA40,0,Z46*(1-N11+N10))</f>
        <v>46795.426825605449</v>
      </c>
      <c r="AB46" s="22">
        <f>IF(N12&lt;=AB40,0,AA46*(1-N11+N10))</f>
        <v>45953.10914274455</v>
      </c>
      <c r="AC46" s="22">
        <f>IF(N12&lt;=AC40,0,AB46*(1-N11+N10))</f>
        <v>45125.95317817515</v>
      </c>
      <c r="AD46" s="22">
        <f>IF(N12&lt;=AD40,0,AC46*(1-N11+N10))</f>
        <v>44313.686020967994</v>
      </c>
      <c r="AE46" s="22">
        <f>IF(N12&lt;=AE40,0,AD46*(1-N11+N10))</f>
        <v>43516.039672590567</v>
      </c>
      <c r="AF46" s="22">
        <f>IF(N12&lt;=AF40,0,AE46*(1-N11+N10))</f>
        <v>42732.750958483935</v>
      </c>
      <c r="AG46" s="22">
        <f>IF(N12&lt;=AG40,0,AF46*(1-N11+N10))</f>
        <v>41963.561441231221</v>
      </c>
      <c r="AH46" s="22">
        <f>IF(N12&lt;=AH40,0,AG46*(1-N11+N10))</f>
        <v>41208.21733528906</v>
      </c>
      <c r="AI46" s="22">
        <f>IF(N12&lt;=AI40,0,AH46*(1-N11+N10))</f>
        <v>40466.469423253853</v>
      </c>
      <c r="AJ46" s="22">
        <f>IF(N12&lt;=AJ40,0,AI46*(1-N11+N10))</f>
        <v>39738.072973635281</v>
      </c>
      <c r="AK46" s="22">
        <f>IF(N12&lt;=AK40,0,AJ46*(1-N11+N10))</f>
        <v>0</v>
      </c>
      <c r="AL46" s="22">
        <f>IF(N12&lt;=AL40,0,AK46*(1-N11+N10))</f>
        <v>0</v>
      </c>
      <c r="AM46" s="22">
        <f>IF(N12&lt;=AM40,0,AL46*(1-N11+N10))</f>
        <v>0</v>
      </c>
      <c r="AN46" s="22">
        <f>IF(N12&lt;=AN40,0,AM46*(1-N11+N10))</f>
        <v>0</v>
      </c>
      <c r="AO46" s="22">
        <f>IF(N12&lt;=AO40,0,AN46*(1-N11+N10))</f>
        <v>0</v>
      </c>
      <c r="AP46" s="22">
        <f>IF(N12&lt;=AP40,0,AO46*(1-N11+N10))</f>
        <v>0</v>
      </c>
      <c r="AQ46" s="22">
        <f>IF(N12&lt;=AQ40,0,AP46*(1-N11+N10))</f>
        <v>0</v>
      </c>
      <c r="AR46" s="22">
        <f>IF(N12&lt;=AR40,0,AQ46*(1-N11+N10))</f>
        <v>0</v>
      </c>
      <c r="AS46" s="13"/>
      <c r="AT46" s="13"/>
      <c r="AU46" s="13"/>
      <c r="AV46" s="13"/>
      <c r="AW46" s="13"/>
    </row>
    <row r="47" spans="1:64" ht="15.75" customHeight="1" x14ac:dyDescent="0.2">
      <c r="A47" s="49">
        <v>20</v>
      </c>
      <c r="B47" s="50">
        <f>(A47*N7)</f>
        <v>0.64</v>
      </c>
      <c r="C47" s="41">
        <f>(((LARGE(N19:W19,1))+(LARGE(N19:W19,2))+(LARGE(N19:W19,3)))/3)*(B47)</f>
        <v>66460.160000000003</v>
      </c>
      <c r="D47" s="22">
        <f>IF(N12&lt;=D40,0,C47)</f>
        <v>66460.160000000003</v>
      </c>
      <c r="E47" s="22">
        <f>IF(N12&lt;=E40,0,D47*(1-N11+N10))</f>
        <v>65263.877120000005</v>
      </c>
      <c r="F47" s="22">
        <f>IF(N12&lt;=F40,0,E47*(1-N11+N10))</f>
        <v>64089.127331840005</v>
      </c>
      <c r="G47" s="22">
        <f>IF(N12&lt;=G40,0,F47*(1-N11+N10))</f>
        <v>62935.523039866886</v>
      </c>
      <c r="H47" s="22">
        <f>IF(N12&lt;=H40,0,G47*(1-N11+N10))</f>
        <v>61802.683625149279</v>
      </c>
      <c r="I47" s="22">
        <f>IF(N12&lt;=I40,0,H47*(1-N11+N10))</f>
        <v>60690.235319896594</v>
      </c>
      <c r="J47" s="22">
        <f>IF(N12&lt;=J40,0,I47*(1-N11+N10))</f>
        <v>59597.811084138455</v>
      </c>
      <c r="K47" s="22">
        <f>IF(N12&lt;=K40,0,J47*(1-N11+N10))</f>
        <v>58525.050484623964</v>
      </c>
      <c r="L47" s="22">
        <f>IF(N12&lt;=L40,0,K47*(1-N11+N10))</f>
        <v>57471.599575900735</v>
      </c>
      <c r="M47" s="22">
        <f>IF(N12&lt;=M40,0,L47*(1-N11+N10))</f>
        <v>56437.110783534517</v>
      </c>
      <c r="N47" s="22">
        <f>IF(N12&lt;=N40,0,M47*(1-N11+N10))</f>
        <v>55421.242789430893</v>
      </c>
      <c r="O47" s="22">
        <f>IF(N12&lt;=O40,0,N47*(1-N11+N10))</f>
        <v>54423.660419221138</v>
      </c>
      <c r="P47" s="22">
        <f>IF(N12&lt;=P40,0,O47*(1-N11+N10))</f>
        <v>53444.034531675155</v>
      </c>
      <c r="Q47" s="22">
        <f>IF(N12&lt;=Q40,0,P47*(1-N11+N10))</f>
        <v>52482.041910104999</v>
      </c>
      <c r="R47" s="22">
        <f>IF(N12&lt;=R40,0,Q47*(1-N11+N10))</f>
        <v>51537.365155723106</v>
      </c>
      <c r="S47" s="22">
        <f>IF(N12&lt;=S40,0,R47*(1-N11+N10))</f>
        <v>50609.692582920092</v>
      </c>
      <c r="T47" s="22">
        <f>IF(N12&lt;=T40,0,S47*(1-N11+N10))</f>
        <v>49698.718116427532</v>
      </c>
      <c r="U47" s="22">
        <f>IF(N12&lt;=U40,0,T47*(1-N11+N10))</f>
        <v>48804.141190331837</v>
      </c>
      <c r="V47" s="22">
        <f>IF(N12&lt;=V40,0,U47*(1-N11+N10))</f>
        <v>47925.666648905863</v>
      </c>
      <c r="W47" s="22">
        <f>IF(N12&lt;=W40,0,V47*(1-N11+N10))</f>
        <v>47063.004649225557</v>
      </c>
      <c r="X47" s="22">
        <f>IF(N12&lt;=X40,0,W47*(1-N11+N10))</f>
        <v>46215.870565539495</v>
      </c>
      <c r="Y47" s="22">
        <f>IF(N12&lt;=Y40,0,X47*(1-N11+N10))</f>
        <v>45383.984895359783</v>
      </c>
      <c r="Z47" s="22">
        <f>IF(N12&lt;=Z40,0,Y47*(1-N11+N10))</f>
        <v>44567.073167243303</v>
      </c>
      <c r="AA47" s="22">
        <f>IF(N12&lt;=AA40,0,Z47*(1-N11+N10))</f>
        <v>43764.86585023292</v>
      </c>
      <c r="AB47" s="22">
        <f>IF(N12&lt;=AB40,0,AA47*(1-N11+N10))</f>
        <v>42977.098264928725</v>
      </c>
      <c r="AC47" s="22">
        <f>IF(N12&lt;=AC40,0,AB47*(1-N11+N10))</f>
        <v>42203.510496160008</v>
      </c>
      <c r="AD47" s="22">
        <f>IF(N12&lt;=AD40,0,AC47*(1-N11+N10))</f>
        <v>41443.847307229131</v>
      </c>
      <c r="AE47" s="22">
        <f>IF(N12&lt;=AE40,0,AD47*(1-N11+N10))</f>
        <v>40697.858055699005</v>
      </c>
      <c r="AF47" s="22">
        <f>IF(N12&lt;=AF40,0,AE47*(1-N11+N10))</f>
        <v>39965.296610696423</v>
      </c>
      <c r="AG47" s="22">
        <f>IF(N12&lt;=AG40,0,AF47*(1-N11+N10))</f>
        <v>39245.92127170389</v>
      </c>
      <c r="AH47" s="22">
        <f>IF(N12&lt;=AH40,0,AG47*(1-N11+N10))</f>
        <v>38539.494688813218</v>
      </c>
      <c r="AI47" s="22">
        <f>IF(N12&lt;=AI40,0,AH47*(1-N11+N10))</f>
        <v>37845.783784414576</v>
      </c>
      <c r="AJ47" s="22">
        <f>IF(N12&lt;=AJ40,0,AI47*(1-N11+N10))</f>
        <v>37164.55967629511</v>
      </c>
      <c r="AK47" s="22">
        <f>IF(N12&lt;=AK40,0,AJ47*(1-N11+N10))</f>
        <v>0</v>
      </c>
      <c r="AL47" s="22">
        <f>IF(N12&lt;=AL40,0,AK47*(1-N11+N10))</f>
        <v>0</v>
      </c>
      <c r="AM47" s="22">
        <f>IF(N12&lt;=AM40,0,AL47*(1-N11+N10))</f>
        <v>0</v>
      </c>
      <c r="AN47" s="22">
        <f>IF(N12&lt;=AN40,0,AM47*(1-N11+N10))</f>
        <v>0</v>
      </c>
      <c r="AO47" s="22">
        <f>IF(N12&lt;=AO40,0,AN47*(1-N11+N10))</f>
        <v>0</v>
      </c>
      <c r="AP47" s="22">
        <f>IF(N12&lt;=AP40,0,AO47*(1-N11+N10))</f>
        <v>0</v>
      </c>
      <c r="AQ47" s="22">
        <f>IF(N12&lt;=AQ40,0,AP47*(1-N11+N10))</f>
        <v>0</v>
      </c>
      <c r="AR47" s="22">
        <f>IF(N12&lt;=AR40,0,AQ47*(1-N11+N10))</f>
        <v>0</v>
      </c>
      <c r="AS47" s="21"/>
      <c r="AT47" s="21"/>
      <c r="AU47" s="21"/>
      <c r="AV47" s="21"/>
      <c r="AW47" s="21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</row>
    <row r="48" spans="1:64" ht="15.75" customHeight="1" x14ac:dyDescent="0.25">
      <c r="A48" s="52"/>
      <c r="B48" s="53"/>
      <c r="C48" s="5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</row>
    <row r="49" spans="1:64" ht="15.75" customHeight="1" x14ac:dyDescent="0.25">
      <c r="A49" s="52"/>
      <c r="B49" s="53"/>
      <c r="C49" s="54"/>
      <c r="K49" s="75" t="s">
        <v>69</v>
      </c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</row>
    <row r="50" spans="1:64" ht="15.75" customHeight="1" x14ac:dyDescent="0.2">
      <c r="A50" s="39">
        <v>19</v>
      </c>
      <c r="B50" s="40">
        <f>(A50*N7)</f>
        <v>0.60799999999999998</v>
      </c>
      <c r="C50" s="41">
        <f>(((LARGE(M19:V19,1))+(LARGE(M19:V19,2))+(LARGE(M19:V19,3)))/3)*(B50)</f>
        <v>63137.152000000002</v>
      </c>
      <c r="K50" s="21">
        <f t="array" ref="K50">IF(N12&lt;=K40,0,NPV((N11-N10),0,0,0,0,0,0,0,0,C50))</f>
        <v>53771.850904009319</v>
      </c>
      <c r="L50" s="13">
        <f>IF(N12&lt;=L40,0,K50*(1-N11+N10))</f>
        <v>52803.957587737154</v>
      </c>
      <c r="M50" s="13">
        <f>IF(N12&lt;=M40,0,L50*(1-N11+N10))</f>
        <v>51853.486351157881</v>
      </c>
      <c r="N50" s="13">
        <f>IF(N12&lt;=N40,0,M50*(1-N11+N10))</f>
        <v>50920.123596837038</v>
      </c>
      <c r="O50" s="13">
        <f>IF(N12&lt;=O40,0,N50*(1-N11+N10))</f>
        <v>50003.561372093973</v>
      </c>
      <c r="P50" s="13">
        <f>IF(N12&lt;=P40,0,O50*(1-N11+N10))</f>
        <v>49103.497267396284</v>
      </c>
      <c r="Q50" s="13">
        <f>IF(N12&lt;=Q40,0,P50*(1-N11+N10))</f>
        <v>48219.634316583149</v>
      </c>
      <c r="R50" s="13">
        <f>IF(N12&lt;=R40,0,Q50*(1-N11+N10))</f>
        <v>47351.680898884653</v>
      </c>
      <c r="S50" s="13">
        <f>IF(N12&lt;=S40,0,R50*(1-N11+N10))</f>
        <v>46499.350642704732</v>
      </c>
      <c r="T50" s="13">
        <f>IF(N12&lt;=T40,0,S50*(1-N11+N10))</f>
        <v>45662.36233113605</v>
      </c>
      <c r="U50" s="13">
        <f>IF(N12&lt;=U40,0,T50*(1-N11+N10))</f>
        <v>44840.439809175601</v>
      </c>
      <c r="V50" s="13">
        <f>IF(N12&lt;=V40,0,U50*(1-N11+N10))</f>
        <v>44033.311892610436</v>
      </c>
      <c r="W50" s="13">
        <f>IF(N12&lt;=W40,0,V50*(1-N11+N10))</f>
        <v>43240.712278543448</v>
      </c>
      <c r="X50" s="13">
        <f>IF(N12&lt;=X40,0,W50*(1-N11+N10))</f>
        <v>42462.379457529663</v>
      </c>
      <c r="Y50" s="13">
        <f>IF(N12&lt;=Y40,0,X50*(1-N11+N10))</f>
        <v>41698.056627294129</v>
      </c>
      <c r="Z50" s="13">
        <f>IF(N12&lt;=Z40,0,Y50*(1-N11+N10))</f>
        <v>40947.491608002834</v>
      </c>
      <c r="AA50" s="13">
        <f>IF(N12&lt;=AA40,0,Z50*(1-N11+N10))</f>
        <v>40210.436759058779</v>
      </c>
      <c r="AB50" s="13">
        <f>IF(N12&lt;=AB40,0,AA50*(1-N11+N10))</f>
        <v>39486.648897395724</v>
      </c>
      <c r="AC50" s="13">
        <f>IF(N12&lt;=AC40,0,AB50*(1-N11+N10))</f>
        <v>38775.889217242599</v>
      </c>
      <c r="AD50" s="13">
        <f>IF(N12&lt;=AD40,0,AC50*(1-N11+N10))</f>
        <v>38077.923211332229</v>
      </c>
      <c r="AE50" s="13">
        <f>IF(N12&lt;=AE40,0,AD50*(1-N11+N10))</f>
        <v>37392.52059352825</v>
      </c>
      <c r="AF50" s="13">
        <f>IF(N12&lt;=AF40,0,AE50*(1-N11+N10))</f>
        <v>36719.455222844743</v>
      </c>
      <c r="AG50" s="13">
        <f>IF(N12&lt;=AG40,0,AF50*(1-N11+N10))</f>
        <v>36058.505028833533</v>
      </c>
      <c r="AH50" s="13">
        <f>IF(N12&lt;=AH40,0,AG50*(1-N11+N10))</f>
        <v>35409.451938314531</v>
      </c>
      <c r="AI50" s="13">
        <f>IF(N12&lt;=AI40,0,AH50*(1-N11+N10))</f>
        <v>34772.081803424866</v>
      </c>
      <c r="AJ50" s="13">
        <f>IF(N12&lt;=AJ40,0,AI50*(1-N11+N10))</f>
        <v>34146.184330963217</v>
      </c>
      <c r="AK50" s="13">
        <f>IF(N12&lt;=AK40,0,AJ50*(1-N11+N10))</f>
        <v>0</v>
      </c>
      <c r="AL50" s="13">
        <f>IF(N12&lt;=AL40,0,AK50*(1-N11+N10))</f>
        <v>0</v>
      </c>
      <c r="AM50" s="13">
        <f>IF(N12&lt;=AM40,0,AL50*(1-N11+N10))</f>
        <v>0</v>
      </c>
      <c r="AN50" s="13">
        <f>IF(N12&lt;=AN40,0,AM50*(1-N11+N10))</f>
        <v>0</v>
      </c>
      <c r="AO50" s="13">
        <f>IF(N12&lt;=AO40,0,AN50*(1-N11+N10))</f>
        <v>0</v>
      </c>
      <c r="AP50" s="13">
        <f>IF(N12&lt;=AP40,0,AO50*(1-N11+N10))</f>
        <v>0</v>
      </c>
      <c r="AQ50" s="13">
        <f>IF(N12&lt;=AQ40,0,AP50*(1-N11+N10))</f>
        <v>0</v>
      </c>
      <c r="AR50" s="13">
        <f>IF(N12&lt;=AR40,0,AQ50*(1-N11+N10))</f>
        <v>0</v>
      </c>
      <c r="AS50" s="13"/>
      <c r="AT50" s="13"/>
      <c r="AU50" s="13"/>
      <c r="AV50" s="13"/>
      <c r="AW50" s="13"/>
    </row>
    <row r="51" spans="1:64" ht="15.75" customHeight="1" x14ac:dyDescent="0.2">
      <c r="A51" s="39">
        <v>18</v>
      </c>
      <c r="B51" s="40">
        <f>(A51*N7)</f>
        <v>0.57600000000000007</v>
      </c>
      <c r="C51" s="41">
        <f>(((LARGE(L19:U19,1))+(LARGE(L19:U19,2))+(LARGE(L19:U19,3)))/3)*(B51)</f>
        <v>58509.312000000013</v>
      </c>
      <c r="K51" s="21">
        <f t="array" ref="K51">IF(N12&lt;=K40,0,NPV((N11-N10),0,0,0,0,0,0,0,0,0,C51))</f>
        <v>48949.381804438883</v>
      </c>
      <c r="L51" s="13">
        <f>IF(N12&lt;=L40,0,K51*(1-N11+N10))</f>
        <v>48068.292931958982</v>
      </c>
      <c r="M51" s="13">
        <f>IF(N12&lt;=M40,0,L51*(1-N11+N10))</f>
        <v>47203.063659183717</v>
      </c>
      <c r="N51" s="13">
        <f>IF(N12&lt;=N40,0,M51*(1-N11+N10))</f>
        <v>46353.408513318413</v>
      </c>
      <c r="O51" s="13">
        <f>IF(N12&lt;=O40,0,N51*(1-N11+N10))</f>
        <v>45519.047160078677</v>
      </c>
      <c r="P51" s="13">
        <f>IF(N12&lt;=P40,0,O51*(1-N11+N10))</f>
        <v>44699.70431119726</v>
      </c>
      <c r="Q51" s="13">
        <f>IF(N12&lt;=V40,0,P51*(1-N11+N10))</f>
        <v>43895.109633595712</v>
      </c>
      <c r="R51" s="13">
        <f>IF(N12&lt;=R40,0,Q51*(1-N11+N10))</f>
        <v>43104.997660190988</v>
      </c>
      <c r="S51" s="13">
        <f>IF(N12&lt;=S40,0,R51*(1-N11+N10))</f>
        <v>42329.107702307549</v>
      </c>
      <c r="T51" s="13">
        <f>IF(N12&lt;=T40,0,S51*(1-N11+N10))</f>
        <v>41567.183763666013</v>
      </c>
      <c r="U51" s="13">
        <f>IF(N12&lt;=U40,0,T51*(1-N11+N10))</f>
        <v>40818.974455920026</v>
      </c>
      <c r="V51" s="13">
        <f>IF(N12&lt;=V40,0,U51*(1-N11+N10))</f>
        <v>40084.232915713466</v>
      </c>
      <c r="W51" s="13">
        <f>IF(N12&lt;=W40,0,V51*(1-N11+N10))</f>
        <v>39362.716723230624</v>
      </c>
      <c r="X51" s="13">
        <f>IF(N12&lt;=X40,0,W51*(1-N11+N10))</f>
        <v>38654.187822212472</v>
      </c>
      <c r="Y51" s="13">
        <f>IF(N12&lt;=Y40,0,X51*(1-N11+N10))</f>
        <v>37958.412441412649</v>
      </c>
      <c r="Z51" s="13">
        <f>IF(N12&lt;=Z40,0,Y51*(1-N11+N10))</f>
        <v>37275.161017467224</v>
      </c>
      <c r="AA51" s="13">
        <f>IF(N12&lt;=AA40,0,Z51*(1-N11+N10))</f>
        <v>36604.208119152812</v>
      </c>
      <c r="AB51" s="13">
        <f>IF(N12&lt;=AB40,0,AA51*(1-N11+N10))</f>
        <v>35945.332373008059</v>
      </c>
      <c r="AC51" s="13">
        <f>IF(N12&lt;=AC40,0,AB51*(1-N11+N10))</f>
        <v>35298.316390293912</v>
      </c>
      <c r="AD51" s="13">
        <f>IF(N12&lt;=AD40,0,AC51*(1-N11+N10))</f>
        <v>34662.94669526862</v>
      </c>
      <c r="AE51" s="13">
        <f>IF(N12&lt;=AE40,0,AD51*(1-N11+N10))</f>
        <v>34039.013654753784</v>
      </c>
      <c r="AF51" s="13">
        <f>IF(N12&lt;=AF40,0,AE51*(1-N11+N10))</f>
        <v>33426.311408968213</v>
      </c>
      <c r="AG51" s="13">
        <f>IF(N12&lt;=AG40,0,AF51*(1-N11+N10))</f>
        <v>32824.637803606784</v>
      </c>
      <c r="AH51" s="13">
        <f>IF(N12&lt;=AH40,0,AG51*(1-N11+N10))</f>
        <v>32233.794323141861</v>
      </c>
      <c r="AI51" s="13">
        <f>IF(N12&lt;=AI40,0,AH51*(1-N11+N10))</f>
        <v>31653.586025325309</v>
      </c>
      <c r="AJ51" s="13">
        <f>IF(N12&lt;=AJ40,0,AI51*(1-N11+N10))</f>
        <v>31083.821476869452</v>
      </c>
      <c r="AK51" s="13">
        <f>IF(N12&lt;=AK40,0,AJ51*(1-N11+N10))</f>
        <v>0</v>
      </c>
      <c r="AL51" s="13">
        <f>IF(N12&lt;=AL40,0,AK51*(1-N11+N10))</f>
        <v>0</v>
      </c>
      <c r="AM51" s="13">
        <f>IF(N12&lt;=AM40,0,AL51*(1-N11+N10))</f>
        <v>0</v>
      </c>
      <c r="AN51" s="13">
        <f>IF(N12&lt;=AN40,0,AM51*(1-N11+N10))</f>
        <v>0</v>
      </c>
      <c r="AO51" s="13">
        <f>IF(N12&lt;=AO40,0,AN51*(1-N11+N10))</f>
        <v>0</v>
      </c>
      <c r="AP51" s="13">
        <f>IF(N12&lt;=AP40,0,AO51*(1-N11+N10))</f>
        <v>0</v>
      </c>
      <c r="AQ51" s="13">
        <f>IF(N12&lt;=AQ40,0,AP51*(1-N11+N10))</f>
        <v>0</v>
      </c>
      <c r="AR51" s="13">
        <f>IF(N12&lt;=AR40,0,AQ51*(1-N11+N10))</f>
        <v>0</v>
      </c>
      <c r="AS51" s="13"/>
      <c r="AT51" s="13"/>
      <c r="AU51" s="13"/>
      <c r="AV51" s="13"/>
      <c r="AW51" s="13"/>
    </row>
    <row r="52" spans="1:64" ht="15.75" customHeight="1" x14ac:dyDescent="0.2">
      <c r="A52" s="39">
        <v>17</v>
      </c>
      <c r="B52" s="40">
        <f>(A52*N7)</f>
        <v>0.54400000000000004</v>
      </c>
      <c r="C52" s="41">
        <f>(((LARGE(K19:T19,1))+(LARGE(K19:T19,2))+(LARGE(K19:T19,3)))/3)*(B52)</f>
        <v>54026.453333333331</v>
      </c>
      <c r="K52" s="21">
        <f t="array" ref="K52">IF(N12&lt;=K40,0,NPV((N11-N10),0,0,0,0,0,0,0,0,0,0,C52))</f>
        <v>44399.788403749328</v>
      </c>
      <c r="L52" s="13">
        <f>IF(N12&lt;=L40,0,K52*(1-N11+N10))</f>
        <v>43600.592212481839</v>
      </c>
      <c r="M52" s="13">
        <f>IF(N12&lt;=M40,0,L52*(1-N11+N10))</f>
        <v>42815.781552657165</v>
      </c>
      <c r="N52" s="13">
        <f>IF(N12&lt;=N40,0,M52*(1-N11+N10))</f>
        <v>42045.097484709338</v>
      </c>
      <c r="O52" s="13">
        <f>IF(N12&lt;=O40,0,N52*(1-N11+N10))</f>
        <v>41288.285729984571</v>
      </c>
      <c r="P52" s="13">
        <f>IF(N12&lt;=P40,0,O52*(1-N11+N10))</f>
        <v>40545.096586844847</v>
      </c>
      <c r="Q52" s="13">
        <f>IF(N12&lt;=Q40,0,P52*(1-N11+N10))</f>
        <v>39815.284848281641</v>
      </c>
      <c r="R52" s="13">
        <f>IF(N12&lt;=R40,0,Q52*(1-N11+N10))</f>
        <v>39098.609721012574</v>
      </c>
      <c r="S52" s="13">
        <f>IF(N12&lt;=S40,0,R52*(1-N11+N10))</f>
        <v>38394.83474603435</v>
      </c>
      <c r="T52" s="13">
        <f>IF(N12&lt;=T40,0,S52*(1-N11+N10))</f>
        <v>37703.727720605733</v>
      </c>
      <c r="U52" s="13">
        <f>IF(N12&lt;=U40,0,T52*(1-N11+N10))</f>
        <v>37025.060621634831</v>
      </c>
      <c r="V52" s="13">
        <f>IF(N12&lt;=V40,0,U52*(1-N11+N10))</f>
        <v>36358.609530445407</v>
      </c>
      <c r="W52" s="13">
        <f>IF(N12&lt;=W40,0,V52*(1-N11+N10))</f>
        <v>35704.15455889739</v>
      </c>
      <c r="X52" s="13">
        <f>IF(N12&lt;=X40,0,W52*(1-N11+N10))</f>
        <v>35061.479776837237</v>
      </c>
      <c r="Y52" s="13">
        <f>IF(N12&lt;=Y40,0,X52*(1-N11+N10))</f>
        <v>34430.373140854164</v>
      </c>
      <c r="Z52" s="13">
        <f>IF(N12&lt;=Z40,0,Y52*(1-N11+N10))</f>
        <v>33810.626424318791</v>
      </c>
      <c r="AA52" s="13">
        <f>IF(N12&lt;=AA40,0,Z52*(1-N11+N10))</f>
        <v>33202.035148681054</v>
      </c>
      <c r="AB52" s="13">
        <f>IF(N12&lt;=AB40,0,AA52*(1-N11+N10))</f>
        <v>32604.398516004796</v>
      </c>
      <c r="AC52" s="13">
        <f>IF(N12&lt;=AC40,0,AB52*(1-N11+N10))</f>
        <v>32017.519342716711</v>
      </c>
      <c r="AD52" s="13">
        <f>IF(N12&lt;=AD40,0,AC52*(1-N11+N10))</f>
        <v>31441.20399454781</v>
      </c>
      <c r="AE52" s="13">
        <f>IF(N12&lt;=AE40,0,AD52*(1-N11+N10))</f>
        <v>30875.262322645947</v>
      </c>
      <c r="AF52" s="13">
        <f>IF(N12&lt;=AF40,0,AE52*(1-N11+N10))</f>
        <v>30319.507600838318</v>
      </c>
      <c r="AG52" s="13">
        <f>IF(N12&lt;=AG40,0,AF52*(1-N11+N10))</f>
        <v>29773.756464023227</v>
      </c>
      <c r="AH52" s="13">
        <f>IF(N12&lt;=AH40,0,AG52*(1-N11+N10))</f>
        <v>29237.828847670808</v>
      </c>
      <c r="AI52" s="13">
        <f>IF(N12&lt;=AI40,0,AH52*(1-N11+N10))</f>
        <v>28711.547928412732</v>
      </c>
      <c r="AJ52" s="13">
        <f>IF(N12&lt;=AJ40,0,AI52*(1-N11+N10))</f>
        <v>28194.740065701302</v>
      </c>
      <c r="AK52" s="13">
        <f>IF(N12&lt;=AK40,0,AJ52*(1-N11+N10))</f>
        <v>0</v>
      </c>
      <c r="AL52" s="13">
        <f>IF(N12&lt;=AL40,0,AK52*(1-N11+N10))</f>
        <v>0</v>
      </c>
      <c r="AM52" s="13">
        <f>IF(N12&lt;=AM40,0,AL52*(1-N11+N10))</f>
        <v>0</v>
      </c>
      <c r="AN52" s="13">
        <f>IF(N12&lt;=AN40,0,AM52*(1-N11+N10))</f>
        <v>0</v>
      </c>
      <c r="AO52" s="13">
        <f>IF(N12&lt;=AO40,0,AN52*(1-N11+N10))</f>
        <v>0</v>
      </c>
      <c r="AP52" s="13">
        <f>IF(N12&lt;=AP40,0,AO52*(1-N11+N10))</f>
        <v>0</v>
      </c>
      <c r="AQ52" s="13">
        <f>IF(N12&lt;=AQ40,0,AP52*(1-N11+N10))</f>
        <v>0</v>
      </c>
      <c r="AR52" s="13">
        <f>IF(N12&lt;=AR40,0,AQ52*(1-N11+N10))</f>
        <v>0</v>
      </c>
      <c r="AS52" s="13"/>
      <c r="AT52" s="13"/>
      <c r="AU52" s="13"/>
      <c r="AV52" s="13"/>
      <c r="AW52" s="13"/>
    </row>
    <row r="53" spans="1:64" ht="15.75" customHeight="1" x14ac:dyDescent="0.2">
      <c r="A53" s="39">
        <v>16</v>
      </c>
      <c r="B53" s="40">
        <f>(A53*N7)</f>
        <v>0.51200000000000001</v>
      </c>
      <c r="C53" s="41">
        <f>(((LARGE(J19:S19,1))+(LARGE(J19:S19,2))+(LARGE(J19:S19,3)))/3)*(B53)</f>
        <v>48605.354666666666</v>
      </c>
      <c r="K53" s="21">
        <f t="array" ref="K53">IF(N12&lt;=K40,0,NPV((N11-N10),0,0,0,0,0,0,0,0,0,0,0,C53))</f>
        <v>39238.353952885198</v>
      </c>
      <c r="L53" s="13">
        <f>IF(N12&lt;=L40,0,K53*(1-N11+N10))</f>
        <v>38532.063581733266</v>
      </c>
      <c r="M53" s="13">
        <f>IF(N12&lt;=M40,0,L53*(1-N11+N10))</f>
        <v>37838.486437262065</v>
      </c>
      <c r="N53" s="13">
        <f>IF(N12&lt;=N40,0,M53*(1-N11+N10))</f>
        <v>37157.393681391346</v>
      </c>
      <c r="O53" s="13">
        <f>IF(N12&lt;=O40,0,N53*(1-N11+N10))</f>
        <v>36488.560595126299</v>
      </c>
      <c r="P53" s="13">
        <f>IF(N12&lt;=P40,0,O53*(1-N11+N10))</f>
        <v>35831.766504414023</v>
      </c>
      <c r="Q53" s="13">
        <f>IF(N12&lt;=Q40,0,P53*(1-N11+N10))</f>
        <v>35186.794707334571</v>
      </c>
      <c r="R53" s="13">
        <f>IF(N12&lt;=R40,0,Q53*(1-N11+N10))</f>
        <v>34553.43240260255</v>
      </c>
      <c r="S53" s="13">
        <f>IF(N12&lt;=S40,0,R53*(1-N11+N10))</f>
        <v>33931.470619355707</v>
      </c>
      <c r="T53" s="13">
        <f>IF(N12&lt;=T40,0,S53*(1-N11+N10))</f>
        <v>33320.704148207304</v>
      </c>
      <c r="U53" s="13">
        <f>IF(N12&lt;=U40,0,T53*(1-N11+N10))</f>
        <v>32720.931473539571</v>
      </c>
      <c r="V53" s="13">
        <f>IF(N12&lt;=V40,0,U53*(1-N11+N10))</f>
        <v>32131.954707015859</v>
      </c>
      <c r="W53" s="13">
        <f>IF(N12&lt;=W40,0,V53*(1-N11+N10))</f>
        <v>31553.579522289572</v>
      </c>
      <c r="X53" s="13">
        <f>IF(N12&lt;=X40,0,W53*(1-N11+N10))</f>
        <v>30985.615090888361</v>
      </c>
      <c r="Y53" s="13">
        <f>IF(N12&lt;=Y40,0,X53*(1-N11+N10))</f>
        <v>30427.874019252369</v>
      </c>
      <c r="Z53" s="13">
        <f>IF(N12&lt;=Z40,0,Y53*(1-N11+N10))</f>
        <v>29880.172286905825</v>
      </c>
      <c r="AA53" s="13">
        <f>IF(N12&lt;=AA40,0,Z53*(1-N11+N10))</f>
        <v>29342.329185741521</v>
      </c>
      <c r="AB53" s="13">
        <f>IF(N12&lt;=AB40,0,AA53*(1-N11+N10))</f>
        <v>28814.167260398171</v>
      </c>
      <c r="AC53" s="13">
        <f>IF(N12&lt;=AC40,0,AB53*(1-N11+N10))</f>
        <v>28295.512249711002</v>
      </c>
      <c r="AD53" s="13">
        <f>IF(N12&lt;=AD40,0,AC53*(1-N11+N10))</f>
        <v>27786.193029216203</v>
      </c>
      <c r="AE53" s="13">
        <f>IF(N12&lt;=AE40,0,AD53*(1-N11+N10))</f>
        <v>27286.04155469031</v>
      </c>
      <c r="AF53" s="13">
        <f>IF(N12&lt;=AF40,0,AE53*(1-N11+N10))</f>
        <v>26794.892806705884</v>
      </c>
      <c r="AG53" s="13">
        <f>IF(N12&lt;=AG40,0,AF53*(1-N11+N10))</f>
        <v>26312.584736185177</v>
      </c>
      <c r="AH53" s="13">
        <f>IF(N12&lt;=AH40,0,AG53*(1-N11+N10))</f>
        <v>25838.958210933844</v>
      </c>
      <c r="AI53" s="13">
        <f>IF(N12&lt;=AI40,0,AH53*(1-N11+N10))</f>
        <v>25373.856963137034</v>
      </c>
      <c r="AJ53" s="13">
        <f>IF(N12&lt;=AJ40,0,AI53*(1-N11+N10))</f>
        <v>24917.127537800567</v>
      </c>
      <c r="AK53" s="13">
        <f>IF(N12&lt;=AK40,0,AJ53*(1-N11+N10))</f>
        <v>0</v>
      </c>
      <c r="AL53" s="13">
        <f>IF(N12&lt;=AL40,0,AK53*(1-N11+N10))</f>
        <v>0</v>
      </c>
      <c r="AM53" s="13">
        <f>IF(N12&lt;=AM40,0,AL53*(1-N11+N10))</f>
        <v>0</v>
      </c>
      <c r="AN53" s="13">
        <f>IF(N12&lt;=AN40,0,AM53*(1-N11+N10))</f>
        <v>0</v>
      </c>
      <c r="AO53" s="13">
        <f>IF(N12&lt;=AO40,0,AN53*(1-N11+N10))</f>
        <v>0</v>
      </c>
      <c r="AP53" s="13">
        <f>IF(N12&lt;=AP40,0,AO53*(1-N11+N10))</f>
        <v>0</v>
      </c>
      <c r="AQ53" s="13">
        <f>IF(N12&lt;=AQ40,0,AP53*(1-N11+N10))</f>
        <v>0</v>
      </c>
      <c r="AR53" s="13">
        <f>IF(N12&lt;=AR40,0,AQ53*(1-N11+N10))</f>
        <v>0</v>
      </c>
      <c r="AS53" s="13"/>
      <c r="AT53" s="13"/>
      <c r="AU53" s="13"/>
      <c r="AV53" s="13"/>
      <c r="AW53" s="13"/>
    </row>
    <row r="54" spans="1:64" ht="15.75" customHeight="1" x14ac:dyDescent="0.2">
      <c r="A54" s="39">
        <v>15</v>
      </c>
      <c r="B54" s="40">
        <f>(A54*N7)</f>
        <v>0.48</v>
      </c>
      <c r="C54" s="41">
        <f>(((LARGE(I19:R19,1))+(LARGE(I19:R19,2))+(LARGE(I19:R19,3)))/3)*(B54)</f>
        <v>43353.599999999999</v>
      </c>
      <c r="K54" s="21">
        <f t="array" ref="K54">IF(N12&lt;=K40,0,NPV((N11-N10),0,0,0,0,0,0,0,0,0,0,0,0,C54))</f>
        <v>34379.855918473229</v>
      </c>
      <c r="L54" s="13">
        <f>IF(N12&lt;=L40,0,K54*(1-N11+N10))</f>
        <v>33761.018511940711</v>
      </c>
      <c r="M54" s="13">
        <f>IF(N12&lt;=M40,0,L54*(1-N11+N10))</f>
        <v>33153.320178725779</v>
      </c>
      <c r="N54" s="13">
        <f>IF(N12&lt;=N40,0,M54*(1-N11+N10))</f>
        <v>32556.560415508713</v>
      </c>
      <c r="O54" s="13">
        <f>IF(N12&lt;=O40,0,N54*(1-N11+N10))</f>
        <v>31970.542328029554</v>
      </c>
      <c r="P54" s="13">
        <f>IF(N12&lt;=P40,0,O54*(1-N11+N10))</f>
        <v>31395.072566125022</v>
      </c>
      <c r="Q54" s="13">
        <f>IF(N12&lt;=Q40,0,P54*(1-N11+N10))</f>
        <v>30829.961259934771</v>
      </c>
      <c r="R54" s="13">
        <f>IF(N12&lt;=R40,0,Q54*(1-N11+N10))</f>
        <v>30275.021957255944</v>
      </c>
      <c r="S54" s="13">
        <f>IF(N12&lt;=S40,0,R54*(1-N11+N10))</f>
        <v>29730.071562025336</v>
      </c>
      <c r="T54" s="13">
        <f>IF(N12&lt;=T40,0,S54*(1-N11+N10))</f>
        <v>29194.930273908878</v>
      </c>
      <c r="U54" s="13">
        <f>IF(N12&lt;=U40,0,T54*(1-N11+N10))</f>
        <v>28669.421528978517</v>
      </c>
      <c r="V54" s="13">
        <f>IF(N12&lt;=V40,0,U54*(1-N11+N10))</f>
        <v>28153.371941456902</v>
      </c>
      <c r="W54" s="13">
        <f>IF(N12&lt;=W40,0,V54*(1-N11+N10))</f>
        <v>27646.611246510678</v>
      </c>
      <c r="X54" s="13">
        <f>IF(N12&lt;=X40,0,W54*(1-N11+N10))</f>
        <v>27148.972244073484</v>
      </c>
      <c r="Y54" s="13">
        <f>IF(N12&lt;=Y40,0,X54*(1-N11+N10))</f>
        <v>26660.290743680162</v>
      </c>
      <c r="Z54" s="13">
        <f>IF(N12&lt;=Z40,0,Y54*(1-N11+N10))</f>
        <v>26180.405510293916</v>
      </c>
      <c r="AA54" s="13">
        <f>IF(N12&lt;=AA40,0,Z54*(1-N11+N10))</f>
        <v>25709.158211108625</v>
      </c>
      <c r="AB54" s="13">
        <f>IF(N12&lt;=AB40,0,AA54*(1-N11+N10))</f>
        <v>25246.393363308667</v>
      </c>
      <c r="AC54" s="13">
        <f>IF(N12&lt;=AC40,0,AB54*(1-N11+N10))</f>
        <v>24791.958282769112</v>
      </c>
      <c r="AD54" s="13">
        <f>IF(N12&lt;=AD40,0,AC54*(1-N11+N10))</f>
        <v>24345.703033679267</v>
      </c>
      <c r="AE54" s="13">
        <f>IF(N12&lt;=AE40,0,AD54*(1-N11+N10))</f>
        <v>23907.48037907304</v>
      </c>
      <c r="AF54" s="13">
        <f>IF(N12&lt;=AF40,0,AE54*(1-N11+N10))</f>
        <v>23477.145732249726</v>
      </c>
      <c r="AG54" s="13">
        <f>IF(N12&lt;=AG40,0,AF54*(1-N11+N10))</f>
        <v>23054.557109069232</v>
      </c>
      <c r="AH54" s="13">
        <f>IF(N12&lt;=AH40,0,AG54*(1-N11+N10))</f>
        <v>22639.575081105984</v>
      </c>
      <c r="AI54" s="13">
        <f>IF(N12&lt;=AI40,0,AH54*(1-N11+N10))</f>
        <v>22232.062729646077</v>
      </c>
      <c r="AJ54" s="13">
        <f>IF(N12&lt;=AJ40,0,AI54*(1-N11+N10))</f>
        <v>21831.885600512447</v>
      </c>
      <c r="AK54" s="13">
        <f>IF(N12&lt;=AK40,0,AJ54*(1-N11+N10))</f>
        <v>0</v>
      </c>
      <c r="AL54" s="13">
        <f>IF(N12&lt;=AL40,0,AK54*(1-N11+N10))</f>
        <v>0</v>
      </c>
      <c r="AM54" s="13">
        <f>IF(N12&lt;=AM40,0,AL54*(1-N11+N10))</f>
        <v>0</v>
      </c>
      <c r="AN54" s="13">
        <f>IF(N12&lt;=AN40,0,AM54*(1-F75+F74))</f>
        <v>0</v>
      </c>
      <c r="AO54" s="13">
        <f>IF(N12&lt;=AO40,0,AN54*(1-H75+H74))</f>
        <v>0</v>
      </c>
      <c r="AP54" s="13">
        <f>IF(N12&lt;=AP40,0,AO54*(1-H75+H74))</f>
        <v>0</v>
      </c>
      <c r="AQ54" s="13">
        <f>IF(N12&lt;=AQ40,0,AP54*(1-J75+J74))</f>
        <v>0</v>
      </c>
      <c r="AR54" s="13">
        <f>IF(N12&lt;=AR40,0,AQ54*(1-N11+N10))</f>
        <v>0</v>
      </c>
      <c r="AS54" s="13"/>
      <c r="AT54" s="13"/>
      <c r="AU54" s="13"/>
      <c r="AV54" s="13"/>
      <c r="AW54" s="13"/>
    </row>
    <row r="55" spans="1:64" ht="15.75" customHeight="1" x14ac:dyDescent="0.2">
      <c r="A55" s="39">
        <v>14</v>
      </c>
      <c r="B55" s="40">
        <f>(A55*N7)</f>
        <v>0.44800000000000001</v>
      </c>
      <c r="C55" s="41">
        <f>(((LARGE(H19:Q19,1))+(LARGE(H19:Q19,2))+(LARGE(H19:Q19,3)))/3)*(B55)</f>
        <v>38397.034666666666</v>
      </c>
      <c r="K55" s="21">
        <f t="array" ref="K55">IF(N12&lt;=K40,0,NPV((N11-N10),0,0,0,0,0,0,0,0,0,0,0,0,0,C55))</f>
        <v>29910.852684973859</v>
      </c>
      <c r="L55" s="13">
        <f>IF(N12&lt;=L40,0,K55*(1-N11+N10))</f>
        <v>29372.457336644329</v>
      </c>
      <c r="M55" s="13">
        <f>IF(N12&lt;=M40,0,L55*(1-N11+N10))</f>
        <v>28843.753104584732</v>
      </c>
      <c r="N55" s="13">
        <f>IF(N12&lt;=N40,0,M55*(1-N11+N10))</f>
        <v>28324.565548702205</v>
      </c>
      <c r="O55" s="13">
        <f>IF(N12&lt;=O40,0,N55*(1-N11+N10))</f>
        <v>27814.723368825566</v>
      </c>
      <c r="P55" s="13">
        <f>IF(N12&lt;=P40,0,O55*(1-N11+N10))</f>
        <v>27314.058348186703</v>
      </c>
      <c r="Q55" s="13">
        <f>IF(N12&lt;=Q40,0,P55*(1-N11+N10))</f>
        <v>26822.405297919344</v>
      </c>
      <c r="R55" s="13">
        <f>IF(N12&lt;=R40,0,Q55*(1-N11+N10))</f>
        <v>26339.602002556796</v>
      </c>
      <c r="S55" s="13">
        <f>IF(N12&lt;=S40,0,R55*(1-N11+N10))</f>
        <v>25865.489166510772</v>
      </c>
      <c r="T55" s="13">
        <f>IF(N12&lt;=T40,0,S55*(1-N11+N10))</f>
        <v>25399.910361513579</v>
      </c>
      <c r="U55" s="13">
        <f>IF(N12&lt;=U40,0,T55*(1-N11+N10))</f>
        <v>24942.711975006336</v>
      </c>
      <c r="V55" s="13">
        <f>IF(N12&lt;=V40,0,U55*(1-N11+N10))</f>
        <v>24493.743159456222</v>
      </c>
      <c r="W55" s="13">
        <f>IF(N12&lt;=W40,0,V55*(1-N11+N10))</f>
        <v>24052.855782586012</v>
      </c>
      <c r="X55" s="13">
        <f>IF(N12&lt;=X40,0,W55*(1-N11+N10))</f>
        <v>23619.904378499465</v>
      </c>
      <c r="Y55" s="13">
        <f>IF(N12&lt;=Y40,0,X55*(1-N11+N10))</f>
        <v>23194.746099686476</v>
      </c>
      <c r="Z55" s="13">
        <f>IF(N12&lt;=Z40,0,Y55*(1-N11+N10))</f>
        <v>22777.240669892119</v>
      </c>
      <c r="AA55" s="13">
        <f>IF(N12&lt;=AA40,0,Z55*(1-N11+N10))</f>
        <v>22367.250337834059</v>
      </c>
      <c r="AB55" s="13">
        <f>IF(N12&lt;=AB40,0,AA55*(1-N11+N10))</f>
        <v>21964.639831753044</v>
      </c>
      <c r="AC55" s="13">
        <f>IF(N12&lt;=AC40,0,AB55*(1-N11+N10))</f>
        <v>21569.276314781488</v>
      </c>
      <c r="AD55" s="13">
        <f>IF(N12&lt;=AD40,0,AC55*(1-N11+N10))</f>
        <v>21181.02934111542</v>
      </c>
      <c r="AE55" s="13">
        <f>IF(N12&lt;=AE40,0,AD55*(1-N11+N10))</f>
        <v>20799.770812975341</v>
      </c>
      <c r="AF55" s="13">
        <f>IF(N12&lt;=AF40,0,AE55*(1-N11+N10))</f>
        <v>20425.374938341785</v>
      </c>
      <c r="AG55" s="13">
        <f>IF(N12&lt;=AG40,0,AF55*(1-N11+N10))</f>
        <v>20057.718189451632</v>
      </c>
      <c r="AH55" s="13">
        <f>IF(N12&lt;=AH40,0,AG55*(1-N11+N10))</f>
        <v>19696.679262041504</v>
      </c>
      <c r="AI55" s="13">
        <f>IF(N12&lt;=AI40,0,AH55*(1-N11+N10))</f>
        <v>19342.139035324755</v>
      </c>
      <c r="AJ55" s="13">
        <f>IF(N12&lt;=AJ40,0,AI55*(1-N11+N10))</f>
        <v>18993.980532688911</v>
      </c>
      <c r="AK55" s="13">
        <f>IF(N12&lt;=AK40,0,AJ55*(1-N11+N10))</f>
        <v>0</v>
      </c>
      <c r="AL55" s="13">
        <f>IF(N12&lt;=AL40,0,AK55*(1-N11+N10))</f>
        <v>0</v>
      </c>
      <c r="AM55" s="13">
        <f>IF(N12&lt;=AM40,0,AL55*(1-N11+N10))</f>
        <v>0</v>
      </c>
      <c r="AN55" s="13">
        <f>IF(N12&lt;=AN40,0,AM55*(1-N11+N10))</f>
        <v>0</v>
      </c>
      <c r="AO55" s="13">
        <f>IF(N12&lt;=AO40,0,AN55*(1-N11+N10))</f>
        <v>0</v>
      </c>
      <c r="AP55" s="13">
        <f>IF(N12&lt;=AP40,0,AO55*(1-N11+N10))</f>
        <v>0</v>
      </c>
      <c r="AQ55" s="13">
        <f>IF(N12&lt;=AQ40,0,AP55*(1-N11+N10))</f>
        <v>0</v>
      </c>
      <c r="AR55" s="13">
        <f>IF(N12&lt;=AR40,0,AQ55*(1-N11+N10))</f>
        <v>0</v>
      </c>
      <c r="AS55" s="13"/>
      <c r="AT55" s="13"/>
      <c r="AU55" s="13"/>
      <c r="AV55" s="13"/>
      <c r="AW55" s="13"/>
    </row>
    <row r="56" spans="1:64" ht="15.75" customHeight="1" x14ac:dyDescent="0.2">
      <c r="A56" s="39">
        <v>13</v>
      </c>
      <c r="B56" s="40">
        <f>(A56*N7)</f>
        <v>0.41600000000000004</v>
      </c>
      <c r="C56" s="41">
        <f>(((LARGE(G19:P19,1))+(LARGE(G19:P19,2))+(LARGE(G19:P19,3)))/3)*(B56)</f>
        <v>34615.776000000005</v>
      </c>
      <c r="K56" s="21">
        <f t="array" ref="K56">IF(N12&lt;=K40,0,NPV((N11-N10),0,0,0,0,0,0,0,0,0,0,0,0,0,0,C56))</f>
        <v>26488.502210239185</v>
      </c>
      <c r="L56" s="13">
        <f>IF(N12&lt;=L40,0,K56*(1-N11+N10))</f>
        <v>26011.70917045488</v>
      </c>
      <c r="M56" s="13">
        <f>IF(N12&lt;=M40,0,L56*(1-N11+N10))</f>
        <v>25543.498405386694</v>
      </c>
      <c r="N56" s="13">
        <f>IF(N12&lt;=N40,0,M56*(1-N11+N10))</f>
        <v>25083.715434089732</v>
      </c>
      <c r="O56" s="13">
        <f>IF(N12&lt;=O40,0,N56*(1-N11+N10))</f>
        <v>24632.208556276117</v>
      </c>
      <c r="P56" s="13">
        <f>IF(N12&lt;=P40,0,O56*(1-N11+N10))</f>
        <v>24188.828802263146</v>
      </c>
      <c r="Q56" s="13">
        <f>IF(N12&lt;=Q40,0,P56*(1-N11+N10))</f>
        <v>23753.429883822409</v>
      </c>
      <c r="R56" s="13">
        <f>IF(N12&lt;=R40,0,Q56*(1-N11+N10))</f>
        <v>23325.868145913606</v>
      </c>
      <c r="S56" s="13">
        <f>IF(N12&lt;=S40,0,R56*(1-N11+N10))</f>
        <v>22906.002519287162</v>
      </c>
      <c r="T56" s="13">
        <f>IF(N12&lt;=T40,0,S56*(1-N11+N10))</f>
        <v>22493.694473939991</v>
      </c>
      <c r="U56" s="13">
        <f>IF(N12&lt;=U40,0,T56*(1-N11+N10))</f>
        <v>22088.807973409072</v>
      </c>
      <c r="V56" s="13">
        <f>IF(N12&lt;=V40,0,U56*(1-N11+N10))</f>
        <v>21691.209429887709</v>
      </c>
      <c r="W56" s="13">
        <f>IF(N12&lt;=W40,0,V56*(1-N11+N10))</f>
        <v>21300.76766014973</v>
      </c>
      <c r="X56" s="13">
        <f>IF(N12&lt;=X40,0,W56*(1-N11+N10))</f>
        <v>20917.353842267035</v>
      </c>
      <c r="Y56" s="13">
        <f>IF(N12&lt;=Y40,0,X56*(1-N11+N10))</f>
        <v>20540.841473106229</v>
      </c>
      <c r="Z56" s="13">
        <f>IF(N12&lt;=Z40,0,Y56*(1-N11+N10))</f>
        <v>20171.106326590318</v>
      </c>
      <c r="AA56" s="13">
        <f>IF(N12&lt;=AA40,0,Z56*(1-N11+N10))</f>
        <v>19808.02641271169</v>
      </c>
      <c r="AB56" s="13">
        <f>IF(N12&lt;=AB40,0,AA56*(1-N11+N10))</f>
        <v>19451.481937282879</v>
      </c>
      <c r="AC56" s="13">
        <f>IF(N12&lt;=AC40,0,AB56*(1-N11+N10))</f>
        <v>19101.355262411787</v>
      </c>
      <c r="AD56" s="13">
        <f>IF(N12&lt;=AD40,0,AC56*(1-N11+N10))</f>
        <v>18757.530867688376</v>
      </c>
      <c r="AE56" s="13">
        <f>IF(N12&lt;=AE40,0,AD56*(1-N11+N10))</f>
        <v>18419.895312069984</v>
      </c>
      <c r="AF56" s="13">
        <f>IF(N12&lt;=AF40,0,AE56*(1-N11+N10))</f>
        <v>18088.337196452725</v>
      </c>
      <c r="AG56" s="13">
        <f>IF(N12&lt;=AG40,0,AF56*(1-N11+N10))</f>
        <v>17762.747126916576</v>
      </c>
      <c r="AH56" s="13">
        <f>IF(N12&lt;=AH40,0,AG56*(1-N11+N10))</f>
        <v>17443.017678632077</v>
      </c>
      <c r="AI56" s="13">
        <f>IF(N12&lt;=AI40,0,AH56*(1-N11+N10))</f>
        <v>17129.043360416701</v>
      </c>
      <c r="AJ56" s="13">
        <f>IF(N12&lt;=AJ40,0,AI56*(1-N11+N10))</f>
        <v>16820.720579929199</v>
      </c>
      <c r="AK56" s="13">
        <f>IF(N12&lt;=AK40,0,AJ56*(1-N11+N10))</f>
        <v>0</v>
      </c>
      <c r="AL56" s="13">
        <f>IF(N12&lt;=AL40,0,AK56*(1-N11+N10))</f>
        <v>0</v>
      </c>
      <c r="AM56" s="13">
        <f>IF(N12&lt;=AM40,0,AL56*(1-N11+N10))</f>
        <v>0</v>
      </c>
      <c r="AN56" s="13">
        <f>IF(N12&lt;=AN40,0,AM56*(1-N11+N10))</f>
        <v>0</v>
      </c>
      <c r="AO56" s="13">
        <f>IF(N12&lt;=AO40,0,AN56*(1-N11+N10))</f>
        <v>0</v>
      </c>
      <c r="AP56" s="13">
        <f>IF(N12&lt;=AP40,0,AO56*(1-N11+N10))</f>
        <v>0</v>
      </c>
      <c r="AQ56" s="13">
        <f>IF(N12&lt;=AQ40,0,AP56*(1-N11+N10))</f>
        <v>0</v>
      </c>
      <c r="AR56" s="13">
        <f>IF(N12&lt;=AR40,0,AQ56*(1-N11+N10))</f>
        <v>0</v>
      </c>
      <c r="AS56" s="13"/>
      <c r="AT56" s="13"/>
      <c r="AU56" s="13"/>
      <c r="AV56" s="13"/>
      <c r="AW56" s="13"/>
    </row>
    <row r="57" spans="1:64" ht="15.75" customHeight="1" x14ac:dyDescent="0.2">
      <c r="A57" s="39">
        <v>12</v>
      </c>
      <c r="B57" s="40">
        <f>(A57*N7)</f>
        <v>0.38400000000000001</v>
      </c>
      <c r="C57" s="41">
        <f>(((LARGE(F19:O19,1))+(LARGE(F19:O19,2))+(LARGE(F19:O19,3)))/3)*(B57)</f>
        <v>31256.064000000002</v>
      </c>
      <c r="K57" s="21">
        <f t="array" ref="K57">IF(N12&lt;=K40,0,NPV((N11-N10),0,0,0,0,0,0,0,0,0,0,0,0,0,0,0,C57))</f>
        <v>23494.696511158636</v>
      </c>
      <c r="L57" s="13">
        <f>IF(N12&lt;=L40,0,K57*(1-N11+N10))</f>
        <v>23071.791973957781</v>
      </c>
      <c r="M57" s="13">
        <f>IF(N12&lt;=M40,0,L57*(1-N11+N10))</f>
        <v>22656.499718426541</v>
      </c>
      <c r="N57" s="13">
        <f>IF(N12&lt;=N40,0,M57*(1-N11+N10))</f>
        <v>22248.682723494861</v>
      </c>
      <c r="O57" s="13">
        <f>IF(N12&lt;=O40,0,N57*(1-N11+N10))</f>
        <v>21848.206434471955</v>
      </c>
      <c r="P57" s="13">
        <f>IF(N12&lt;=P40,0,O57*(1-N11+N10))</f>
        <v>21454.938718651458</v>
      </c>
      <c r="Q57" s="13">
        <f>IF(N12&lt;=Q40,0,P57*(1-N11+N10))</f>
        <v>21068.74982171573</v>
      </c>
      <c r="R57" s="13">
        <f>IF(N12&lt;=R40,0,Q57*(1-N11+N10))</f>
        <v>20689.512324924846</v>
      </c>
      <c r="S57" s="13">
        <f>IF(N12&lt;=S40,0,R57*(1-N11+N10))</f>
        <v>20317.101103076198</v>
      </c>
      <c r="T57" s="13">
        <f>IF(N12&lt;=T40,0,S57*(1-N11+N10))</f>
        <v>19951.393283220827</v>
      </c>
      <c r="U57" s="13">
        <f>IF(N12&lt;=U40,0,T57*(1-N11+N10))</f>
        <v>19592.268204122851</v>
      </c>
      <c r="V57" s="13">
        <f>IF(N12&lt;=V40,0,U57*(1-N11+N10))</f>
        <v>19239.607376448639</v>
      </c>
      <c r="W57" s="13">
        <f>IF(N12&lt;=W40,0,V57*(1-N11+N10))</f>
        <v>18893.294443672563</v>
      </c>
      <c r="X57" s="13">
        <f>IF(N12&lt;=X40,0,W57*(1-N11+N10))</f>
        <v>18553.215143686455</v>
      </c>
      <c r="Y57" s="13">
        <f>IF(N12&lt;=Y40,0,X57*(1-N11+N10))</f>
        <v>18219.257271100098</v>
      </c>
      <c r="Z57" s="13">
        <f>IF(N12&lt;=Z40,0,Y57*(1-N11+N10))</f>
        <v>17891.310640220294</v>
      </c>
      <c r="AA57" s="13">
        <f>IF(N12&lt;=AA40,0,Z57*(1-N11+N10))</f>
        <v>17569.267048696329</v>
      </c>
      <c r="AB57" s="13">
        <f>IF(N12&lt;=AB40,0,AA57*(1-N11+N10))</f>
        <v>17253.020241819795</v>
      </c>
      <c r="AC57" s="13">
        <f>IF(N12&lt;=AC40,0,AB57*(1-N11+N10))</f>
        <v>16942.465877467039</v>
      </c>
      <c r="AD57" s="13">
        <f>IF(N12&lt;=AD40,0,AC57*(1-N11+N10))</f>
        <v>16637.501491672632</v>
      </c>
      <c r="AE57" s="13">
        <f>IF(N12&lt;=AE40,0,AD57*(1-N11+N10))</f>
        <v>16338.026464822524</v>
      </c>
      <c r="AF57" s="13">
        <f>IF(N12&lt;=AF40,0,AE57*(1-N11+N10))</f>
        <v>16043.941988455717</v>
      </c>
      <c r="AG57" s="13">
        <f>IF(N12&lt;=AG40,0,AF57*(1-N11+N10))</f>
        <v>15755.151032663514</v>
      </c>
      <c r="AH57" s="13">
        <f>IF(N12&lt;=AH40,0,AG57*(1-N11+N10))</f>
        <v>15471.558314075572</v>
      </c>
      <c r="AI57" s="13">
        <f>IF(N12&lt;=AI40,0,IF(N12&lt;=AI40,0,AH57*(1-N11+N10)))</f>
        <v>15193.070264422211</v>
      </c>
      <c r="AJ57" s="13">
        <f>IF(N12&lt;=AJ40,0,AI57*(1-N11+N10))</f>
        <v>14919.594999662611</v>
      </c>
      <c r="AK57" s="13">
        <f>IF(N12&lt;=AK40,0,AJ57*(1-N11+N10))</f>
        <v>0</v>
      </c>
      <c r="AL57" s="13">
        <f>IF(N12&lt;=AL40,0,AK57*(1-N11+N10))</f>
        <v>0</v>
      </c>
      <c r="AM57" s="13">
        <f>IF(N12&lt;=AM40,0,AL57*(1-N11+N10))</f>
        <v>0</v>
      </c>
      <c r="AN57" s="13">
        <f>IF(N12&lt;=AN40,0,AM57*(1-N11+N10))</f>
        <v>0</v>
      </c>
      <c r="AO57" s="13">
        <f>IF(N12&lt;=AO40,0,AN57*(1-N11+N10))</f>
        <v>0</v>
      </c>
      <c r="AP57" s="13">
        <f>IF(N12&lt;=AP40,0,AO57*(1-N11+N10))</f>
        <v>0</v>
      </c>
      <c r="AQ57" s="13">
        <f>IF(N12&lt;=AQ40,0,AP57*(1-N11+N10))</f>
        <v>0</v>
      </c>
      <c r="AR57" s="13">
        <f>IF(N12&lt;=AR40,0,AQ57*(1-N11+N10))</f>
        <v>0</v>
      </c>
      <c r="AS57" s="13"/>
      <c r="AT57" s="13"/>
      <c r="AU57" s="13"/>
      <c r="AV57" s="13"/>
      <c r="AW57" s="13"/>
    </row>
    <row r="58" spans="1:64" ht="15.75" customHeight="1" x14ac:dyDescent="0.2">
      <c r="A58" s="39">
        <v>11</v>
      </c>
      <c r="B58" s="40">
        <f>(A58*N7)</f>
        <v>0.35199999999999998</v>
      </c>
      <c r="C58" s="41">
        <f>(((LARGE(E19:N19,1))+(LARGE(E19:N19,2))+(LARGE(E19:N19,3)))/3)*(B58)</f>
        <v>28012.511999999999</v>
      </c>
      <c r="K58" s="21">
        <f t="array" ref="K58">IF(N12&lt;=K40,0,NPV((N11-N10),0,0,0,0,0,0,0,0,0,0,0,0,0,0,0,0,C58))</f>
        <v>20684.252445448714</v>
      </c>
      <c r="L58" s="13">
        <f>IF(N12&lt;=L40,0,K58*(1-N11+N10))</f>
        <v>20311.935901430636</v>
      </c>
      <c r="M58" s="13">
        <f>IF(N12&lt;=M40,0,L58*(1-N11+N10))</f>
        <v>19946.321055204884</v>
      </c>
      <c r="N58" s="13">
        <f>IF(N12&lt;=N40,0,M58*(1-N11+N10))</f>
        <v>19587.287276211195</v>
      </c>
      <c r="O58" s="13">
        <f>IF(N12&lt;=O40,0,N58*(1-N11+N10))</f>
        <v>19234.716105239393</v>
      </c>
      <c r="P58" s="13">
        <f>IF(N12&lt;=P40,0,O58*(1-N11+N10))</f>
        <v>18888.491215345082</v>
      </c>
      <c r="Q58" s="13">
        <f>IF(N12&lt;=Q40,0,P58*(1-N11+N10))</f>
        <v>18548.498373468872</v>
      </c>
      <c r="R58" s="13">
        <f>IF(N12&lt;=R40,0,Q58*(1-N11+N10))</f>
        <v>18214.625402746431</v>
      </c>
      <c r="S58" s="13">
        <f>IF(N12&lt;=S40,0,R58*(1-N11+N10))</f>
        <v>17886.762145496996</v>
      </c>
      <c r="T58" s="13">
        <f>IF(N12&lt;=T40,0,S58*(1-N11+N10))</f>
        <v>17564.80042687805</v>
      </c>
      <c r="U58" s="13">
        <f>IF(N12&lt;=U40,0,T58*(1-N11+N10))</f>
        <v>17248.634019194244</v>
      </c>
      <c r="V58" s="13">
        <f>IF(N12&lt;=V40,0,U58*(1-N11+N10))</f>
        <v>16938.158606848749</v>
      </c>
      <c r="W58" s="13">
        <f>IF(N12&lt;=W40,0,V58*(1-N11+N10))</f>
        <v>16633.271751925469</v>
      </c>
      <c r="X58" s="13">
        <f>IF(N12&lt;=X40,0,W58*(1-N11+N10))</f>
        <v>16333.872860390811</v>
      </c>
      <c r="Y58" s="13">
        <f>IF(N12&lt;=WC40,0,X58*(1-N11+N10))</f>
        <v>16039.863148903776</v>
      </c>
      <c r="Z58" s="13">
        <f>IF(N12&lt;=Z40,0,Y58*(1-N11+N10))</f>
        <v>15751.145612223509</v>
      </c>
      <c r="AA58" s="13">
        <f>IF(N12&lt;=AA40,0,Z58*(1-N11+N10))</f>
        <v>15467.624991203485</v>
      </c>
      <c r="AB58" s="13">
        <f>IF(N12&lt;=AB40,0,AA58*(1-N11+N10))</f>
        <v>15189.207741361823</v>
      </c>
      <c r="AC58" s="13">
        <f>IF(N12&lt;=AC40,0,AB58*(1-N11+N10))</f>
        <v>14915.80200201731</v>
      </c>
      <c r="AD58" s="13">
        <f>IF(N12&lt;=AD40,0,AC58*(1-N11+N10))</f>
        <v>14647.317565980999</v>
      </c>
      <c r="AE58" s="13">
        <f>IF(N12&lt;=AE40,0,AD58*(1-N11+N10))</f>
        <v>14383.66584979334</v>
      </c>
      <c r="AF58" s="13">
        <f>IF(N12&lt;=AF40,0,AE58*(1-N11+N10))</f>
        <v>14124.75986449706</v>
      </c>
      <c r="AG58" s="13">
        <f>IF(N12&lt;=AG40,0,AF58*(1-N11+N10))</f>
        <v>13870.514186936112</v>
      </c>
      <c r="AH58" s="13">
        <f>IF(N12&lt;=AH40,0,AG58*(1-N11+N10))</f>
        <v>13620.844931571262</v>
      </c>
      <c r="AI58" s="13">
        <f>IF(N12&lt;=AI40,0,AH58*(1-N11+N10))</f>
        <v>13375.669722802979</v>
      </c>
      <c r="AJ58" s="13">
        <f>IF(N12&lt;=AJ40,0,AI58*(1-N11+N10))</f>
        <v>13134.907667792526</v>
      </c>
      <c r="AK58" s="13">
        <f>IF(N12&lt;=AK40,0,AJ58*(1-N11+N10))</f>
        <v>0</v>
      </c>
      <c r="AL58" s="13">
        <f>IF(N12&lt;=AL40,0,AK58*(1-N11+N10))</f>
        <v>0</v>
      </c>
      <c r="AM58" s="13">
        <f>IF(N12&lt;=AM40,0,AL58*(1-N11+N10))</f>
        <v>0</v>
      </c>
      <c r="AN58" s="13">
        <f>IF(N12&lt;=AN40,0,AM58*(1-N11+N10))</f>
        <v>0</v>
      </c>
      <c r="AO58" s="13">
        <f>IF(N12&lt;=AO40,0,AN58*(1-N11+N10))</f>
        <v>0</v>
      </c>
      <c r="AP58" s="13">
        <f>IF(N12&lt;=AP40,0,AO58*(1-N11+N10))</f>
        <v>0</v>
      </c>
      <c r="AQ58" s="13">
        <f>IF(N12&lt;=AQ40,0,AP58*(1-N11+N10))</f>
        <v>0</v>
      </c>
      <c r="AR58" s="13">
        <f>IF(N12&lt;=AR40,0,AQ58*(1-N11+N10))</f>
        <v>0</v>
      </c>
      <c r="AS58" s="13"/>
      <c r="AT58" s="13"/>
      <c r="AU58" s="13"/>
      <c r="AV58" s="13"/>
      <c r="AW58" s="13"/>
    </row>
    <row r="59" spans="1:64" ht="15.75" customHeight="1" x14ac:dyDescent="0.2">
      <c r="A59" s="39">
        <v>10</v>
      </c>
      <c r="B59" s="40">
        <f>(A59*N7)</f>
        <v>0.32</v>
      </c>
      <c r="C59" s="41">
        <f>(((LARGE(D19:M19,1))+(LARGE(D19:M19,2))+(LARGE(D19:M19,3)))/3)*(B59)</f>
        <v>24885.119999999999</v>
      </c>
      <c r="K59" s="21">
        <f t="array" ref="K59">IF(N12&lt;=K40,0,NPV((N11-N10),0,0,0,0,0,0,0,0,0,0,0,0,0,0,0,0,0,C59))</f>
        <v>18050.105112533107</v>
      </c>
      <c r="L59" s="13">
        <f>IF(N12&lt;=L40,0,K59*(1-N11+N10))</f>
        <v>17725.203220507512</v>
      </c>
      <c r="M59" s="13">
        <f>IF(N12&lt;=M40,0,L59*(1-N11+N10))</f>
        <v>17406.149562538376</v>
      </c>
      <c r="N59" s="13">
        <f>IF(N12&lt;=N40,0,M59*(1-N11+N10))</f>
        <v>17092.838870412685</v>
      </c>
      <c r="O59" s="13">
        <f>IF(N12&lt;=O40,0,N59*(1-N11+N10))</f>
        <v>16785.167770745255</v>
      </c>
      <c r="P59" s="13">
        <f>IF(N12&lt;=P40,0,O59*(1-N11+N10))</f>
        <v>16483.034750871841</v>
      </c>
      <c r="Q59" s="13">
        <f>IF(N12&lt;=Q40,0,P59*(1-N11+N10))</f>
        <v>16186.340125356148</v>
      </c>
      <c r="R59" s="13">
        <f>IF(N12&lt;=R40,0,Q59*(1-N11+N10))</f>
        <v>15894.986003099737</v>
      </c>
      <c r="S59" s="13">
        <f>IF(N12&lt;=S40,0,R59*(1-N11+N10))</f>
        <v>15608.876255043942</v>
      </c>
      <c r="T59" s="13">
        <f>IF(N12&lt;=T40,0,S59*(1-N11+N10))</f>
        <v>15327.916482453151</v>
      </c>
      <c r="U59" s="13">
        <f>IF(N12&lt;=U40,0,T59*(1-N11+N10))</f>
        <v>15052.013985768994</v>
      </c>
      <c r="V59" s="13">
        <f>IF(N12&lt;=V40,0,U59*(1-N11+N10))</f>
        <v>14781.077734025152</v>
      </c>
      <c r="W59" s="13">
        <f>IF(N12&lt;=W40,0,V59*(1-N11+N10))</f>
        <v>14515.018334812699</v>
      </c>
      <c r="X59" s="13">
        <f>IF(N12&lt;=X40,0,W59*(1-N11+N10))</f>
        <v>14253.74800478607</v>
      </c>
      <c r="Y59" s="13">
        <f>IF(N12&lt;=Y40,0,X59*(1-N11+N10))</f>
        <v>13997.180540699921</v>
      </c>
      <c r="Z59" s="13">
        <f>IF(N12&lt;=Z40,0,Y59*(1-N11+N10))</f>
        <v>13745.231290967322</v>
      </c>
      <c r="AA59" s="13">
        <f>IF(N12&lt;=AA40,0,Z59*(1-N11+N10))</f>
        <v>13497.81712772991</v>
      </c>
      <c r="AB59" s="13">
        <f>IF(N12&lt;=AB40,0,AA59*(1-N11+N10))</f>
        <v>13254.856419430771</v>
      </c>
      <c r="AC59" s="13">
        <f>IF(N12&lt;=AC40,0,AB59*(1-N11+N10))</f>
        <v>13016.269003881016</v>
      </c>
      <c r="AD59" s="13">
        <f>IF(N12&lt;=AD40,0,AC59*(1-N11+N10))</f>
        <v>12781.976161811157</v>
      </c>
      <c r="AE59" s="13">
        <f>IF(N12&lt;=AE40,0,AD59*(1-N11+N10))</f>
        <v>12551.900590898556</v>
      </c>
      <c r="AF59" s="13">
        <f>IF(N12&lt;=AF40,0,AE59*(1-N11+N10))</f>
        <v>12325.966380262382</v>
      </c>
      <c r="AG59" s="13">
        <f>IF(N12&lt;=AG40,0,AF59*(1-N11+N10))</f>
        <v>12104.098985417659</v>
      </c>
      <c r="AH59" s="13">
        <f>IF(N12&lt;=AH40,0,AG59*(1-N11+N10))</f>
        <v>11886.22520368014</v>
      </c>
      <c r="AI59" s="13">
        <f>IF(N12&lt;=AI40,0,AH59*(1-N11+N10))</f>
        <v>11672.273150013898</v>
      </c>
      <c r="AJ59" s="13">
        <f>IF(N12&lt;=AJ40,0,AI59*(1-N11+N10))</f>
        <v>11462.172233313648</v>
      </c>
      <c r="AK59" s="13">
        <f>IF(N12&lt;=AK40,0,AJ59*(1-N11+N10))</f>
        <v>0</v>
      </c>
      <c r="AL59" s="13">
        <f>IF(N12&lt;=AL40,0,AK59*(1-N11+N10))</f>
        <v>0</v>
      </c>
      <c r="AM59" s="13">
        <f>IF(N12&lt;=AM40,0,AL59*(1-N11+N10))</f>
        <v>0</v>
      </c>
      <c r="AN59" s="13">
        <f>IF(N12&lt;=AN40,0,AM59*(1-N11+N10))</f>
        <v>0</v>
      </c>
      <c r="AO59" s="13">
        <f>IF(N12&lt;=AO40,0,AN59*(1-N11+N10))</f>
        <v>0</v>
      </c>
      <c r="AP59" s="13">
        <f>IF(N12&lt;=AP40,0,AO59*(1-N11+N10))</f>
        <v>0</v>
      </c>
      <c r="AQ59" s="13">
        <f>IF(N12&lt;=AQ40,0,AP59*(1-N11+N10))</f>
        <v>0</v>
      </c>
      <c r="AR59" s="13">
        <f>IF(N12&lt;=AR40,0,AQ59*(1-N11+N10))</f>
        <v>0</v>
      </c>
      <c r="AS59" s="13"/>
      <c r="AT59" s="13"/>
      <c r="AU59" s="13"/>
      <c r="AV59" s="13"/>
      <c r="AW59" s="13"/>
    </row>
    <row r="60" spans="1:64" ht="15.75" customHeight="1" x14ac:dyDescent="0.2">
      <c r="A60" s="65"/>
      <c r="B60" s="63"/>
      <c r="C60" s="63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10"/>
      <c r="BD60" s="10"/>
      <c r="BE60" s="10"/>
      <c r="BF60" s="10"/>
      <c r="BG60" s="10"/>
      <c r="BH60" s="10"/>
      <c r="BI60" s="10"/>
      <c r="BJ60" s="10"/>
      <c r="BK60" s="10"/>
      <c r="BL60" s="10"/>
    </row>
    <row r="61" spans="1:64" ht="15.75" customHeight="1" x14ac:dyDescent="0.2">
      <c r="A61" s="79" t="s">
        <v>70</v>
      </c>
      <c r="B61" s="63"/>
      <c r="C61" s="63"/>
      <c r="D61" s="22"/>
      <c r="E61" s="22"/>
      <c r="F61" s="22"/>
      <c r="G61" s="22">
        <f>IF(N12&lt;=G40,0,N5)</f>
        <v>76429.183999999994</v>
      </c>
      <c r="H61" s="22">
        <f>IF(N12&lt;=H40,0,N5)</f>
        <v>76429.183999999994</v>
      </c>
      <c r="I61" s="22">
        <f>IF(N12&lt;=I40,0,N5)</f>
        <v>76429.183999999994</v>
      </c>
      <c r="J61" s="22">
        <f>IF(N12&lt;=J40,0,N5)</f>
        <v>76429.183999999994</v>
      </c>
      <c r="K61" s="22">
        <f>IF(N12&lt;=K40,0,N5)</f>
        <v>76429.183999999994</v>
      </c>
      <c r="L61" s="22">
        <f>IF(N12&lt;=L40,0,N5)</f>
        <v>76429.183999999994</v>
      </c>
      <c r="M61" s="22">
        <f>IF(N12&lt;=M40,0,N5)</f>
        <v>76429.183999999994</v>
      </c>
      <c r="N61" s="22">
        <f>IF(N12&lt;=N40,0,N5)</f>
        <v>76429.183999999994</v>
      </c>
      <c r="O61" s="22">
        <f>IF(N12&lt;=O40,0,N5)</f>
        <v>76429.183999999994</v>
      </c>
      <c r="P61" s="22">
        <f>IF(N12&lt;=P40,0,N5)</f>
        <v>76429.183999999994</v>
      </c>
      <c r="Q61" s="22">
        <f>IF(N12&lt;=Q40,0,N5)</f>
        <v>76429.183999999994</v>
      </c>
      <c r="R61" s="22">
        <f>IF(N12&lt;=R40,0,N5)</f>
        <v>76429.183999999994</v>
      </c>
      <c r="S61" s="22">
        <f>IF(N12&lt;=S40,0,N5)</f>
        <v>76429.183999999994</v>
      </c>
      <c r="T61" s="22">
        <f>IF(N12&lt;=T40,0,N5)</f>
        <v>76429.183999999994</v>
      </c>
      <c r="U61" s="22">
        <f>IF(N12&lt;=U40,0,N5)</f>
        <v>76429.183999999994</v>
      </c>
      <c r="V61" s="22">
        <f>IF(N12&lt;=V40,0,N5)</f>
        <v>76429.183999999994</v>
      </c>
      <c r="W61" s="22">
        <f>IF(N12&lt;=W40,0,N5)</f>
        <v>76429.183999999994</v>
      </c>
      <c r="X61" s="22">
        <f>IF(N12&lt;=X40,0,N5)</f>
        <v>76429.183999999994</v>
      </c>
      <c r="Y61" s="22">
        <f>IF(N12&lt;=Y40,0,N5)</f>
        <v>76429.183999999994</v>
      </c>
      <c r="Z61" s="22">
        <f>IF(N12&lt;=Z40,0,N5)</f>
        <v>76429.183999999994</v>
      </c>
      <c r="AA61" s="22">
        <f>IF(N12&lt;=AA40,0,N5)</f>
        <v>76429.183999999994</v>
      </c>
      <c r="AB61" s="22">
        <f>IF(N12&lt;=AB40,0,N5)</f>
        <v>76429.183999999994</v>
      </c>
      <c r="AC61" s="22">
        <f>IF(N12&lt;=AC40,0,N5)</f>
        <v>76429.183999999994</v>
      </c>
      <c r="AD61" s="22">
        <f>IF(N12&lt;=AD40,0,N5)</f>
        <v>76429.183999999994</v>
      </c>
      <c r="AE61" s="22">
        <f>IF(N12&lt;=AE40,0,N5)</f>
        <v>76429.183999999994</v>
      </c>
      <c r="AF61" s="22">
        <f>IF(N12&lt;=AF40,0,N5)</f>
        <v>76429.183999999994</v>
      </c>
      <c r="AG61" s="22">
        <f>IF(N12&lt;=AG40,0,N5)</f>
        <v>76429.183999999994</v>
      </c>
      <c r="AH61" s="22">
        <f>IF(N12&lt;=AH40,0,N5)</f>
        <v>76429.183999999994</v>
      </c>
      <c r="AI61" s="22">
        <f>IF(N12&lt;=AI40,0,N5)</f>
        <v>76429.183999999994</v>
      </c>
      <c r="AJ61" s="22">
        <f>IF(N12&lt;=AJ40,0,N5)</f>
        <v>76429.183999999994</v>
      </c>
      <c r="AK61" s="22">
        <f>IF(N12&lt;=AK40,0,N5)</f>
        <v>0</v>
      </c>
      <c r="AL61" s="22">
        <f>IF(N12&lt;=AL40,0,N5)</f>
        <v>0</v>
      </c>
      <c r="AM61" s="22">
        <f>IF(N12&lt;=AM40,0,N5)</f>
        <v>0</v>
      </c>
      <c r="AN61" s="22">
        <f>IF(N12&lt;=AN40,0,N5)</f>
        <v>0</v>
      </c>
      <c r="AO61" s="22">
        <f>IF(N12&lt;=AO40,0,N5)</f>
        <v>0</v>
      </c>
      <c r="AP61" s="22">
        <f>IF(N12&lt;=AP40,0,N5)</f>
        <v>0</v>
      </c>
      <c r="AQ61" s="22">
        <f>IF(N12&lt;=AQ40,0,N5)</f>
        <v>0</v>
      </c>
      <c r="AR61" s="22">
        <f>IF(N12&lt;=AR40,0,N5)</f>
        <v>0</v>
      </c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22"/>
      <c r="BD61" s="22"/>
      <c r="BE61" s="22"/>
      <c r="BF61" s="22"/>
    </row>
    <row r="62" spans="1:64" ht="15.75" customHeight="1" x14ac:dyDescent="0.2">
      <c r="A62" s="80" t="s">
        <v>71</v>
      </c>
      <c r="B62" s="63"/>
      <c r="C62" s="63"/>
      <c r="D62" s="22"/>
      <c r="E62" s="22"/>
      <c r="F62" s="22"/>
      <c r="G62" s="22">
        <f>IF(N12&lt;=G40,0,MAX(0,(-FV((N8-N11),1,-G61,AA37))))</f>
        <v>1636161.4323249715</v>
      </c>
      <c r="H62" s="22">
        <f>IF(N12&lt;=H40,0,MAX(0,(-FV((N8-N11),1,-H61,G62))))</f>
        <v>1648903.0463866827</v>
      </c>
      <c r="I62" s="22">
        <f>IF(N12&lt;=I40,0,MAX(0,(-FV((N8-N11),1,-I61,H62))))</f>
        <v>1662339.078414757</v>
      </c>
      <c r="J62" s="22">
        <f>IF(N12&lt;=J40,0,MAX(0,(-FV((N8-N11),1,-J61,I62))))</f>
        <v>1676507.3741883615</v>
      </c>
      <c r="K62" s="22">
        <f>IF(N12&lt;=K40,0,MAX(0,(-FV((N8-N11),1,-K61,J62))))</f>
        <v>1691447.8420816273</v>
      </c>
      <c r="L62" s="22">
        <f>IF(N12&lt;=L40,0,MAX(0,(-FV((N8-N11),1,-L61,K62))))</f>
        <v>1707202.5654750762</v>
      </c>
      <c r="M62" s="22">
        <f>IF(N12&lt;=M40,0,MAX(0,(-FV((N8-N11),1,-M61,L62))))</f>
        <v>1723815.921293468</v>
      </c>
      <c r="N62" s="22">
        <f>IF(N12&lt;=N40,0,MAX(0,(-FV((N8-N11),1,-N61,M62))))</f>
        <v>1741334.7050039622</v>
      </c>
      <c r="O62" s="22">
        <f>IF(N12&lt;=O40,0,MAX(0,(-FV((N8-N11),1,-O61,N62))))</f>
        <v>1759808.2624266781</v>
      </c>
      <c r="P62" s="22">
        <f>IF(N12&lt;=P40,0,MAX(0,(-FV((N8-N11),1,-P61,O62))))</f>
        <v>1779288.6287289322</v>
      </c>
      <c r="Q62" s="22">
        <f>IF(N12&lt;=Q40,0,MAX(0,(-FV((N8-N11),1,-Q61,P62))))</f>
        <v>1799830.6749946591</v>
      </c>
      <c r="R62" s="22">
        <f>IF(N12&lt;=R40,0,MAX(0,(-FV((N8-N11),1,-R61,Q62))))</f>
        <v>1821492.2627818682</v>
      </c>
      <c r="S62" s="22">
        <f>IF(N12&lt;=S40,0,MAX(0,(-FV((N8-N11),1,-S61,R62))))</f>
        <v>1844334.4071034801</v>
      </c>
      <c r="T62" s="22">
        <f>IF(N12&lt;=T40,0,MAX(0,(-FV((N8-N11),1,-T61,S62))))</f>
        <v>1868421.4482906198</v>
      </c>
      <c r="U62" s="22">
        <f>IF(N12&lt;=U40,0,MAX(0,(-FV((N8-N11),1,-U61,T62))))</f>
        <v>1893821.2332224587</v>
      </c>
      <c r="V62" s="22">
        <f>IF(N12&lt;=V40,0,MAX(0,(-FV((N8-N11),1,-V61,U62))))</f>
        <v>1920605.3064330828</v>
      </c>
      <c r="W62" s="22">
        <f>IF(N12&lt;=W40,0,MAX(0,(-FV((N8-N11),1,-W61,V62))))</f>
        <v>1948849.1116336859</v>
      </c>
      <c r="X62" s="22">
        <f>IF(N12&lt;=X40,0,MAX(0,(-FV((N8-N11),1,-X61,W62))))</f>
        <v>1978632.2042177219</v>
      </c>
      <c r="Y62" s="22">
        <f>IF(N12&lt;=Y40,0,MAX(0,(-FV((N8-N11),1,-Y61,X62))))</f>
        <v>2010038.4753475878</v>
      </c>
      <c r="Z62" s="22">
        <f>IF(N12&lt;=Z40,0,MAX(0,(-FV((N8-N11),1,-Z61,Y62))))</f>
        <v>2043156.3882540315</v>
      </c>
      <c r="AA62" s="22">
        <f>IF(N12&lt;=AA40,0,MAX(0,(-FV((N8-N11),1,-AA61,Z62))))</f>
        <v>2078079.2274138764</v>
      </c>
      <c r="AB62" s="22">
        <f>IF(N12&lt;=AB40,0,MAX(0,(-FV((N8-N11),1,-AB61,AA62))))</f>
        <v>2114905.361307933</v>
      </c>
      <c r="AC62" s="22">
        <f>IF(N12&lt;=AC40,0,MAX(0,(-FV((N8-N11),1,-AC61,AB62))))</f>
        <v>2153738.5194992153</v>
      </c>
      <c r="AD62" s="22">
        <f>IF(N12&lt;=AD40,0,MAX(0,(-FV((N8-N11),1,-AD61,AC62))))</f>
        <v>2194688.0848119226</v>
      </c>
      <c r="AE62" s="22">
        <f>IF(N12&lt;=AE40,0,MAX(0,(-FV((N8-N11),1,-AE61,AD62))))</f>
        <v>2237869.4014341724</v>
      </c>
      <c r="AF62" s="22">
        <f>IF(N12&lt;=AF40,0,MAX(0,(-FV((N8-N11),1,-AF61,AE62))))</f>
        <v>2283404.0998123349</v>
      </c>
      <c r="AG62" s="22">
        <f>IF(N12&lt;=AG40,0,MAX(0,(-FV((N8-N11),1,-AG61,AF62))))</f>
        <v>2331420.4392521074</v>
      </c>
      <c r="AH62" s="22">
        <f>IF(N12&lt;=AH40,0,MAX(0,(-FV((N8-N11),1,-AH61,AG62))))</f>
        <v>2382053.6691913474</v>
      </c>
      <c r="AI62" s="22">
        <f>IF(N12&lt;=AI40,0,MAX(0,(-FV((N8-N11),1,-AI61,AH62))))</f>
        <v>2435446.4101622761</v>
      </c>
      <c r="AJ62" s="22">
        <f>IF(N12&lt;=AJ40,0,MAX(0,(-FV((N8-N11),1,-AJ61,AI62))))</f>
        <v>2491749.05551612</v>
      </c>
      <c r="AK62" s="22">
        <f>IF(N12&lt;=AK40,0,MAX(0,(-FV((N8-N11),1,-AK61,AJ62))))</f>
        <v>0</v>
      </c>
      <c r="AL62" s="22">
        <f>IF(N12&lt;=AL40,0,MAX(0,(-FV((N8-N11),1,-AL61,AK62))))</f>
        <v>0</v>
      </c>
      <c r="AM62" s="22">
        <f>IF(N12&lt;=AM40,0,MAX(0,(-FV((N8-N11),1,-AM61,AL62))))</f>
        <v>0</v>
      </c>
      <c r="AN62" s="22">
        <f>IF(N12&lt;=AN40,0,MAX(0,(-FV((N8-N11),1,-AN61,AM62))))</f>
        <v>0</v>
      </c>
      <c r="AO62" s="22">
        <f>IF(N12&lt;=AO40,0,MAX(0,(-FV((N8-N11),1,-AO61,AN62))))</f>
        <v>0</v>
      </c>
      <c r="AP62" s="22">
        <f>IF(N12&lt;=AP40,0,MAX(0,(-FV((N8-N11),1,-AP61,AO62))))</f>
        <v>0</v>
      </c>
      <c r="AQ62" s="22">
        <f>IF(N12&lt;=AQ40,0,MAX(0,(-FV((N8-N11),1,-AQ61,AP62))))</f>
        <v>0</v>
      </c>
      <c r="AR62" s="22">
        <f>IF(N12&lt;=AR40,0,MAX(0,(-FV((N8-N11),1,-AR61,AQ62))))</f>
        <v>0</v>
      </c>
      <c r="AS62" s="42"/>
      <c r="AT62" s="42"/>
      <c r="AU62" s="42"/>
      <c r="AV62" s="42"/>
      <c r="AW62" s="4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1:64" ht="15.75" customHeight="1" x14ac:dyDescent="0.2">
      <c r="E63" s="14"/>
      <c r="F63" s="14"/>
      <c r="G63" s="14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64" ht="15.75" customHeight="1" x14ac:dyDescent="0.2"/>
    <row r="65" spans="6:31" ht="15.75" customHeight="1" x14ac:dyDescent="0.2"/>
    <row r="66" spans="6:31" ht="15.75" customHeight="1" x14ac:dyDescent="0.2">
      <c r="K66" s="43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6:31" ht="15.75" customHeight="1" x14ac:dyDescent="0.2">
      <c r="F67" s="44"/>
      <c r="G67" s="43"/>
      <c r="H67" s="44"/>
      <c r="I67" s="44"/>
      <c r="K67" s="43"/>
      <c r="M67" s="43"/>
      <c r="O67" s="43"/>
      <c r="Q67" s="43"/>
      <c r="S67" s="43"/>
      <c r="U67" s="43"/>
      <c r="V67" s="43"/>
      <c r="W67" s="43"/>
      <c r="X67" s="43"/>
      <c r="Y67" s="45"/>
    </row>
    <row r="68" spans="6:31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31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31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31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31" ht="15.75" customHeight="1" x14ac:dyDescent="0.2">
      <c r="F72" s="44"/>
      <c r="G72" s="21"/>
      <c r="H72" s="44"/>
      <c r="I72" s="44"/>
      <c r="J72" s="44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5"/>
    </row>
    <row r="73" spans="6:31" ht="15.75" customHeight="1" x14ac:dyDescent="0.2">
      <c r="F73" s="44"/>
      <c r="G73" s="21"/>
      <c r="H73" s="44"/>
      <c r="I73" s="44"/>
      <c r="J73" s="44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5"/>
    </row>
    <row r="74" spans="6:31" ht="15.75" customHeight="1" x14ac:dyDescent="0.2">
      <c r="F74" s="44"/>
      <c r="G74" s="21"/>
      <c r="H74" s="44"/>
      <c r="I74" s="44"/>
      <c r="J74" s="44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5"/>
    </row>
    <row r="75" spans="6:31" ht="15.75" customHeight="1" x14ac:dyDescent="0.2">
      <c r="F75" s="44"/>
      <c r="G75" s="21"/>
      <c r="H75" s="44"/>
      <c r="I75" s="44"/>
      <c r="J75" s="44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5"/>
    </row>
    <row r="76" spans="6:31" ht="15.75" customHeight="1" x14ac:dyDescent="0.2">
      <c r="F76" s="44"/>
      <c r="G76" s="21"/>
      <c r="H76" s="44"/>
      <c r="I76" s="44"/>
      <c r="J76" s="44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5"/>
    </row>
    <row r="77" spans="6:31" ht="15.75" customHeight="1" x14ac:dyDescent="0.2">
      <c r="F77" s="44"/>
      <c r="G77" s="46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6:31" ht="15.75" customHeight="1" x14ac:dyDescent="0.2">
      <c r="F78" s="44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</row>
    <row r="79" spans="6:31" ht="15.75" customHeight="1" x14ac:dyDescent="0.2">
      <c r="F79" s="44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</row>
    <row r="80" spans="6:31" ht="15.75" customHeight="1" x14ac:dyDescent="0.2">
      <c r="F80" s="44"/>
    </row>
    <row r="81" spans="7:29" ht="15.75" customHeight="1" x14ac:dyDescent="0.2"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7:29" ht="15.75" customHeight="1" x14ac:dyDescent="0.2"/>
    <row r="83" spans="7:29" ht="15.75" customHeight="1" x14ac:dyDescent="0.2"/>
    <row r="84" spans="7:29" ht="15.75" customHeight="1" x14ac:dyDescent="0.2"/>
    <row r="85" spans="7:29" ht="15.75" customHeight="1" x14ac:dyDescent="0.2"/>
    <row r="86" spans="7:29" ht="15.75" customHeight="1" x14ac:dyDescent="0.2"/>
    <row r="87" spans="7:29" ht="15.75" customHeight="1" x14ac:dyDescent="0.2"/>
    <row r="88" spans="7:29" ht="15.75" customHeight="1" x14ac:dyDescent="0.2"/>
    <row r="89" spans="7:29" ht="15.75" customHeight="1" x14ac:dyDescent="0.2"/>
    <row r="90" spans="7:29" ht="15.75" customHeight="1" x14ac:dyDescent="0.2"/>
    <row r="91" spans="7:29" ht="15.75" customHeight="1" x14ac:dyDescent="0.2"/>
    <row r="92" spans="7:29" ht="15.75" customHeight="1" x14ac:dyDescent="0.2"/>
    <row r="93" spans="7:29" ht="15.75" customHeight="1" x14ac:dyDescent="0.2"/>
    <row r="94" spans="7:29" ht="15.75" customHeight="1" x14ac:dyDescent="0.2"/>
    <row r="95" spans="7:29" ht="15.75" customHeight="1" x14ac:dyDescent="0.2"/>
    <row r="96" spans="7:29" ht="15.75" customHeight="1" x14ac:dyDescent="0.2">
      <c r="G96" s="14"/>
      <c r="H96" s="14"/>
      <c r="I96" s="14"/>
      <c r="J96" s="14"/>
      <c r="K96" s="14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A23:C23"/>
    <mergeCell ref="A22:C22"/>
    <mergeCell ref="A62:C62"/>
    <mergeCell ref="A30:C30"/>
    <mergeCell ref="A31:C31"/>
    <mergeCell ref="A32:C32"/>
    <mergeCell ref="A42:C42"/>
    <mergeCell ref="A43:C43"/>
    <mergeCell ref="A35:C35"/>
    <mergeCell ref="A34:C34"/>
    <mergeCell ref="A24:C24"/>
    <mergeCell ref="A26:C26"/>
    <mergeCell ref="A25:C25"/>
    <mergeCell ref="A40:C40"/>
    <mergeCell ref="A41:C41"/>
    <mergeCell ref="A61:C61"/>
    <mergeCell ref="A60:C60"/>
    <mergeCell ref="J14:M14"/>
    <mergeCell ref="J13:M13"/>
    <mergeCell ref="J4:M4"/>
    <mergeCell ref="A4:I4"/>
    <mergeCell ref="A11:I11"/>
    <mergeCell ref="A12:I12"/>
    <mergeCell ref="P4:AA4"/>
    <mergeCell ref="P5:AA5"/>
    <mergeCell ref="J5:M5"/>
    <mergeCell ref="A2:I2"/>
    <mergeCell ref="A3:I3"/>
    <mergeCell ref="P2:AA2"/>
    <mergeCell ref="P3:AA3"/>
    <mergeCell ref="J3:M3"/>
    <mergeCell ref="A1:AA1"/>
    <mergeCell ref="J10:M10"/>
    <mergeCell ref="J9:M9"/>
    <mergeCell ref="J8:M8"/>
    <mergeCell ref="A8:I8"/>
    <mergeCell ref="J2:N2"/>
    <mergeCell ref="O2:O14"/>
    <mergeCell ref="J11:M11"/>
    <mergeCell ref="A6:I6"/>
    <mergeCell ref="A5:I5"/>
    <mergeCell ref="A7:I7"/>
    <mergeCell ref="A14:I14"/>
    <mergeCell ref="A13:I13"/>
    <mergeCell ref="A10:I10"/>
    <mergeCell ref="A9:I9"/>
    <mergeCell ref="P7:AA7"/>
    <mergeCell ref="K49:W49"/>
    <mergeCell ref="A28:C28"/>
    <mergeCell ref="A27:C27"/>
    <mergeCell ref="A29:C29"/>
    <mergeCell ref="E39:G39"/>
    <mergeCell ref="A39:D39"/>
    <mergeCell ref="A37:C37"/>
    <mergeCell ref="A36:C36"/>
    <mergeCell ref="A33:C33"/>
    <mergeCell ref="H39:AO39"/>
    <mergeCell ref="AA37:AB37"/>
    <mergeCell ref="AA35:AB36"/>
    <mergeCell ref="AA30:AB30"/>
    <mergeCell ref="AA28:AB29"/>
    <mergeCell ref="A16:D16"/>
    <mergeCell ref="E16:G16"/>
    <mergeCell ref="H16:AB16"/>
    <mergeCell ref="A15:AB15"/>
    <mergeCell ref="A21:C21"/>
    <mergeCell ref="A20:C20"/>
    <mergeCell ref="A17:C17"/>
    <mergeCell ref="A19:C19"/>
    <mergeCell ref="A18:C18"/>
    <mergeCell ref="AA19:AB19"/>
    <mergeCell ref="AA18:AB18"/>
    <mergeCell ref="AA17:AB17"/>
    <mergeCell ref="P6:AA6"/>
    <mergeCell ref="J6:M6"/>
    <mergeCell ref="J7:M7"/>
    <mergeCell ref="P10:AA10"/>
    <mergeCell ref="P12:AA12"/>
    <mergeCell ref="P11:AA11"/>
    <mergeCell ref="P8:AA8"/>
    <mergeCell ref="P9:AA9"/>
    <mergeCell ref="J12:M12"/>
  </mergeCells>
  <conditionalFormatting sqref="G61:AR62">
    <cfRule type="cellIs" dxfId="49" priority="1" operator="equal">
      <formula>0</formula>
    </cfRule>
  </conditionalFormatting>
  <conditionalFormatting sqref="G62:AR62">
    <cfRule type="cellIs" dxfId="48" priority="2" operator="between">
      <formula>500000</formula>
      <formula>1</formula>
    </cfRule>
  </conditionalFormatting>
  <conditionalFormatting sqref="D34:M34">
    <cfRule type="cellIs" dxfId="47" priority="3" operator="lessThan">
      <formula>0</formula>
    </cfRule>
  </conditionalFormatting>
  <conditionalFormatting sqref="N35:W35">
    <cfRule type="cellIs" dxfId="46" priority="4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G1000"/>
  <sheetViews>
    <sheetView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59" width="8.5703125" customWidth="1"/>
  </cols>
  <sheetData>
    <row r="1" spans="1:47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5.75" customHeight="1" x14ac:dyDescent="0.25">
      <c r="A3" s="72" t="s">
        <v>4</v>
      </c>
      <c r="B3" s="63"/>
      <c r="C3" s="63"/>
      <c r="D3" s="63"/>
      <c r="E3" s="63"/>
      <c r="F3" s="63"/>
      <c r="G3" s="63"/>
      <c r="H3" s="63"/>
      <c r="I3" s="63"/>
      <c r="J3" s="91" t="s">
        <v>88</v>
      </c>
      <c r="K3" s="70"/>
      <c r="L3" s="70"/>
      <c r="M3" s="71"/>
      <c r="N3" s="5">
        <v>40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15.75" customHeight="1" x14ac:dyDescent="0.25">
      <c r="A4" s="72" t="s">
        <v>76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16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77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5.75" customHeight="1" x14ac:dyDescent="0.25">
      <c r="A9" s="72" t="s">
        <v>78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79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ht="15.75" customHeight="1" x14ac:dyDescent="0.25">
      <c r="A14" s="72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.75" customHeight="1" x14ac:dyDescent="0.2">
      <c r="A15" s="6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ht="15.75" customHeight="1" x14ac:dyDescent="0.25">
      <c r="A17" s="87" t="s">
        <v>45</v>
      </c>
      <c r="B17" s="63"/>
      <c r="C17" s="63"/>
      <c r="D17" s="12">
        <v>40</v>
      </c>
      <c r="E17" s="12">
        <v>41</v>
      </c>
      <c r="F17" s="61">
        <v>42</v>
      </c>
      <c r="G17" s="61">
        <v>43</v>
      </c>
      <c r="H17" s="61">
        <v>44</v>
      </c>
      <c r="I17" s="61">
        <v>45</v>
      </c>
      <c r="J17" s="61">
        <v>46</v>
      </c>
      <c r="K17" s="61">
        <v>47</v>
      </c>
      <c r="L17" s="61">
        <v>48</v>
      </c>
      <c r="M17" s="61">
        <v>49</v>
      </c>
      <c r="N17" s="61">
        <v>50</v>
      </c>
      <c r="O17" s="61">
        <v>51</v>
      </c>
      <c r="P17" s="61">
        <v>52</v>
      </c>
      <c r="Q17" s="61">
        <v>53</v>
      </c>
      <c r="R17" s="61">
        <v>54</v>
      </c>
      <c r="S17" s="61">
        <v>55</v>
      </c>
      <c r="T17" s="61">
        <v>56</v>
      </c>
      <c r="U17" s="61">
        <v>57</v>
      </c>
      <c r="V17" s="61">
        <v>58</v>
      </c>
      <c r="W17" s="61">
        <v>59</v>
      </c>
      <c r="X17" s="61">
        <v>60</v>
      </c>
      <c r="Y17" s="61">
        <v>61</v>
      </c>
      <c r="Z17" s="61">
        <v>62</v>
      </c>
      <c r="AA17" s="84">
        <v>63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47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47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47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47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47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7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47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47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47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47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47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47" ht="15.75" customHeight="1" x14ac:dyDescent="0.25">
      <c r="A30" s="78" t="s">
        <v>57</v>
      </c>
      <c r="B30" s="63"/>
      <c r="C30" s="63"/>
      <c r="D30" s="13">
        <f>ABS(PV(N8,1,0,E30))</f>
        <v>237374.0198799833</v>
      </c>
      <c r="E30" s="13">
        <f>ABS(PV(N8,1,0,F30))</f>
        <v>254583.6363212821</v>
      </c>
      <c r="F30" s="13">
        <f>ABS(PV(N8,1,0,G30))</f>
        <v>273040.94995457504</v>
      </c>
      <c r="G30" s="13">
        <f>ABS(PV(N8,1,0,H30))</f>
        <v>292836.41882628173</v>
      </c>
      <c r="H30" s="13">
        <f>ABS(PV(N8,1,0,I30))</f>
        <v>314067.05919118715</v>
      </c>
      <c r="I30" s="13">
        <f>ABS(PV(N8,1,0,J30))</f>
        <v>336836.92098254821</v>
      </c>
      <c r="J30" s="13">
        <f>ABS(PV(N8,1,0,K30))</f>
        <v>361257.59775378299</v>
      </c>
      <c r="K30" s="13">
        <f>ABS(PV(N8,1,0,L30))</f>
        <v>387448.77359093225</v>
      </c>
      <c r="L30" s="13">
        <f>ABS(PV(N8,1,0,M30))</f>
        <v>415538.80967627483</v>
      </c>
      <c r="M30" s="13">
        <f>ABS(PV(N8,1,0,N30))</f>
        <v>445665.37337780476</v>
      </c>
      <c r="N30" s="13">
        <f>ABS(PV(N8,1,0,O30))</f>
        <v>477976.1129476956</v>
      </c>
      <c r="O30" s="13">
        <f>ABS(PV(N8,1,0,P30))</f>
        <v>512629.38113640354</v>
      </c>
      <c r="P30" s="13">
        <f>ABS(PV(N8,1,0,Q30))</f>
        <v>549795.01126879279</v>
      </c>
      <c r="Q30" s="13">
        <f>ABS(PV(N8,1,0,R30))</f>
        <v>589655.14958578022</v>
      </c>
      <c r="R30" s="13">
        <f>ABS(PV(N8,1,0,S30))</f>
        <v>632405.14793074934</v>
      </c>
      <c r="S30" s="13">
        <f>ABS(PV(N8,1,0,T30))</f>
        <v>678254.52115572873</v>
      </c>
      <c r="T30" s="13">
        <f>ABS(PV(N8,1,0,U30))</f>
        <v>727427.97393951903</v>
      </c>
      <c r="U30" s="13">
        <f>ABS(PV(N8,1,0,V30))</f>
        <v>780166.50205013412</v>
      </c>
      <c r="V30" s="13">
        <f>ABS(PV(N8,1,0,W30))</f>
        <v>836728.57344876882</v>
      </c>
      <c r="W30" s="13">
        <f>ABS(PV(N8,1,0,X30))</f>
        <v>897391.39502380462</v>
      </c>
      <c r="X30" s="13">
        <f>ABS(PV(N8,1,0,Y30))</f>
        <v>962452.27116303053</v>
      </c>
      <c r="Y30" s="13">
        <f>ABS(PV(N8,1,0,Z30))</f>
        <v>1032230.0608223502</v>
      </c>
      <c r="Z30" s="13">
        <f>ABS(PV(N8,1,0,AA30))</f>
        <v>1107066.7402319706</v>
      </c>
      <c r="AA30" s="73">
        <f t="array" ref="AA30">NPV(N9,G42:AM42)</f>
        <v>1187329.0788987884</v>
      </c>
      <c r="AB30" s="63"/>
      <c r="AC30" s="14"/>
    </row>
    <row r="31" spans="1:47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47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NPV(N9,0,0,0,0,0,0,0,0,0,0,0,0,F59:AM59)</f>
        <v>237177.81237327258</v>
      </c>
      <c r="O32" s="22">
        <f t="array" ref="O32">NPV(N9,0,0,0,0,0,0,0,0,0,0,0,F58:AM58)</f>
        <v>278177.50031399709</v>
      </c>
      <c r="P32" s="22">
        <f t="array" ref="P32">NPV(N9,0,0,0,0,0,0,0,0,0,0,F57:AM57)</f>
        <v>323399.8820351648</v>
      </c>
      <c r="Q32" s="22">
        <f t="array" ref="Q32">NPV(N9,0,0,0,0,0,0,0,0,0,F56:AM56)</f>
        <v>373177.34155162552</v>
      </c>
      <c r="R32" s="22">
        <f t="array" ref="R32">NPV(N9,0,0,0,0,0,0,0,0,F55:AM55)</f>
        <v>431295.08159147535</v>
      </c>
      <c r="S32" s="22">
        <f t="array" ref="S32">NPV(N9,0,0,0,0,0,0,0,F54:AM54)</f>
        <v>507384.98491640994</v>
      </c>
      <c r="T32" s="22">
        <f t="array" ref="T32">NPV(N9,0,0,0,0,0,0,F53:AM53)</f>
        <v>592696.25911523448</v>
      </c>
      <c r="U32" s="21">
        <f t="array" ref="U32">NPV(N9,0,0,0,0,0,F52:AM52)</f>
        <v>686420.35428709385</v>
      </c>
      <c r="V32" s="22">
        <f t="array" ref="V32">NPV(N9,0,0,0,0,F51:AM51)</f>
        <v>774540.82009636541</v>
      </c>
      <c r="W32" s="22">
        <f t="array" ref="W32">NPV(N9,0,0,0,F50:AM50)</f>
        <v>870843.13474642544</v>
      </c>
      <c r="X32" s="22">
        <f t="array" ref="X32">NPV(N9,D47:AM47)</f>
        <v>1098904.3244347963</v>
      </c>
      <c r="Y32" s="22">
        <f t="array" ref="Y32">NPV(N9,E46:AM46)</f>
        <v>1131549.73203866</v>
      </c>
      <c r="Z32" s="22">
        <f t="array" ref="Z32">NPV(N9,F45:AM45)</f>
        <v>1161084.0665461409</v>
      </c>
      <c r="AA32" s="13"/>
    </row>
    <row r="33" spans="1:59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59" ht="15.75" customHeight="1" x14ac:dyDescent="0.2">
      <c r="A34" s="88" t="s">
        <v>60</v>
      </c>
      <c r="B34" s="63"/>
      <c r="C34" s="63"/>
      <c r="D34" s="13">
        <f t="shared" ref="D34:M34" si="5">D31-D30</f>
        <v>-229745.4898799833</v>
      </c>
      <c r="E34" s="13">
        <f t="shared" si="5"/>
        <v>-238394.6063212821</v>
      </c>
      <c r="F34" s="13">
        <f t="shared" si="5"/>
        <v>-247403.38995457505</v>
      </c>
      <c r="G34" s="13">
        <f t="shared" si="5"/>
        <v>-257750.32882628174</v>
      </c>
      <c r="H34" s="13">
        <f t="shared" si="5"/>
        <v>-269532.43919118715</v>
      </c>
      <c r="I34" s="13">
        <f t="shared" si="5"/>
        <v>-282853.77098254819</v>
      </c>
      <c r="J34" s="13">
        <f t="shared" si="5"/>
        <v>-297164.86775378301</v>
      </c>
      <c r="K34" s="13">
        <f t="shared" si="5"/>
        <v>-313246.46359093225</v>
      </c>
      <c r="L34" s="13">
        <f t="shared" si="5"/>
        <v>-331226.91967627482</v>
      </c>
      <c r="M34" s="13">
        <f t="shared" si="5"/>
        <v>-351243.90337780479</v>
      </c>
      <c r="X34" s="15"/>
      <c r="Y34" s="15"/>
      <c r="Z34" s="15"/>
      <c r="AA34" s="15"/>
    </row>
    <row r="35" spans="1:59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-240798.30057442302</v>
      </c>
      <c r="O35" s="13">
        <f t="shared" si="6"/>
        <v>-234451.88082240644</v>
      </c>
      <c r="P35" s="13">
        <f t="shared" si="6"/>
        <v>-226395.12923362799</v>
      </c>
      <c r="Q35" s="13">
        <f t="shared" si="6"/>
        <v>-216477.8080341547</v>
      </c>
      <c r="R35" s="13">
        <f t="shared" si="6"/>
        <v>-201110.066339274</v>
      </c>
      <c r="S35" s="13">
        <f t="shared" si="6"/>
        <v>-170869.53623931878</v>
      </c>
      <c r="T35" s="13">
        <f t="shared" si="6"/>
        <v>-134731.71482428454</v>
      </c>
      <c r="U35" s="13">
        <f t="shared" si="6"/>
        <v>-93746.147763040266</v>
      </c>
      <c r="V35" s="13">
        <f t="shared" si="6"/>
        <v>-62187.753352403408</v>
      </c>
      <c r="W35" s="13">
        <f t="shared" si="6"/>
        <v>-26548.260277379188</v>
      </c>
      <c r="X35" s="15"/>
      <c r="Y35" s="15"/>
      <c r="Z35" s="15"/>
      <c r="AA35" s="77" t="s">
        <v>62</v>
      </c>
      <c r="AB35" s="63"/>
    </row>
    <row r="36" spans="1:59" ht="15.75" customHeight="1" x14ac:dyDescent="0.2">
      <c r="A36" s="63"/>
      <c r="B36" s="63"/>
      <c r="C36" s="63"/>
      <c r="AA36" s="63"/>
      <c r="AB36" s="63"/>
    </row>
    <row r="37" spans="1:59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59" ht="15.75" customHeight="1" x14ac:dyDescent="0.2"/>
    <row r="39" spans="1:59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59" ht="15.75" customHeight="1" x14ac:dyDescent="0.2">
      <c r="A40" s="87" t="s">
        <v>45</v>
      </c>
      <c r="B40" s="63"/>
      <c r="C40" s="63"/>
      <c r="D40" s="11">
        <v>60</v>
      </c>
      <c r="E40" s="11">
        <v>61</v>
      </c>
      <c r="F40" s="60">
        <v>62</v>
      </c>
      <c r="G40" s="60">
        <v>63</v>
      </c>
      <c r="H40" s="60">
        <v>64</v>
      </c>
      <c r="I40" s="60">
        <v>65</v>
      </c>
      <c r="J40" s="60">
        <v>66</v>
      </c>
      <c r="K40" s="60">
        <v>67</v>
      </c>
      <c r="L40" s="60">
        <v>68</v>
      </c>
      <c r="M40" s="60">
        <v>69</v>
      </c>
      <c r="N40" s="60">
        <v>70</v>
      </c>
      <c r="O40" s="60">
        <v>71</v>
      </c>
      <c r="P40" s="60">
        <v>72</v>
      </c>
      <c r="Q40" s="60">
        <v>73</v>
      </c>
      <c r="R40" s="60">
        <v>74</v>
      </c>
      <c r="S40" s="60">
        <v>75</v>
      </c>
      <c r="T40" s="60">
        <v>76</v>
      </c>
      <c r="U40" s="60">
        <v>77</v>
      </c>
      <c r="V40" s="60">
        <v>78</v>
      </c>
      <c r="W40" s="60">
        <v>79</v>
      </c>
      <c r="X40" s="60">
        <v>80</v>
      </c>
      <c r="Y40" s="60">
        <v>81</v>
      </c>
      <c r="Z40" s="60">
        <v>82</v>
      </c>
      <c r="AA40" s="60">
        <v>83</v>
      </c>
      <c r="AB40" s="60">
        <v>84</v>
      </c>
      <c r="AC40" s="60">
        <v>85</v>
      </c>
      <c r="AD40" s="60">
        <v>86</v>
      </c>
      <c r="AE40" s="60">
        <v>87</v>
      </c>
      <c r="AF40" s="60">
        <v>88</v>
      </c>
      <c r="AG40" s="60">
        <v>89</v>
      </c>
      <c r="AH40" s="60">
        <v>90</v>
      </c>
      <c r="AI40" s="60">
        <v>91</v>
      </c>
      <c r="AJ40" s="60">
        <v>92</v>
      </c>
      <c r="AK40" s="60">
        <v>93</v>
      </c>
      <c r="AL40" s="60">
        <v>94</v>
      </c>
      <c r="AM40" s="60">
        <v>95</v>
      </c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</row>
    <row r="41" spans="1:59" ht="15.75" customHeight="1" x14ac:dyDescent="0.2">
      <c r="A41" s="78" t="s">
        <v>65</v>
      </c>
      <c r="B41" s="63"/>
      <c r="C41" s="63"/>
      <c r="D41" s="48"/>
      <c r="E41" s="48"/>
      <c r="F41" s="48"/>
      <c r="G41" s="14">
        <f>IF(N12&lt;=G40,0,AA19)</f>
        <v>76429.183999999994</v>
      </c>
      <c r="H41" s="14">
        <f>IF(N12&lt;=H40,0,AA19)</f>
        <v>76429.183999999994</v>
      </c>
      <c r="I41" s="14">
        <f>IF(N12&lt;=I40,0,AA19)</f>
        <v>76429.183999999994</v>
      </c>
      <c r="J41" s="14">
        <f>IF(N12&lt;=J40,0,AA19)</f>
        <v>76429.183999999994</v>
      </c>
      <c r="K41" s="14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2">
        <f>IF(N12&lt;=AC40,0,AA19)</f>
        <v>76429.183999999994</v>
      </c>
      <c r="AD41" s="22">
        <f>IF(N12&lt;=AD40,0,AA19)</f>
        <v>76429.183999999994</v>
      </c>
      <c r="AE41" s="22">
        <f>IF(N12&lt;=AE40,0,AA19)</f>
        <v>76429.183999999994</v>
      </c>
      <c r="AF41" s="28">
        <f>IF(N12&lt;=AF40,0,AA19)</f>
        <v>0</v>
      </c>
      <c r="AG41" s="28">
        <f>IF(N12&lt;=AG40,0,AA19)</f>
        <v>0</v>
      </c>
      <c r="AH41" s="28">
        <f>IF(N12&lt;=AH40,0,AA19)</f>
        <v>0</v>
      </c>
      <c r="AI41" s="28">
        <f>IF(N12&lt;=AI40,0,AA19)</f>
        <v>0</v>
      </c>
      <c r="AJ41" s="28">
        <f>IF(N12&lt;=AJ40,0,AA19)</f>
        <v>0</v>
      </c>
      <c r="AK41" s="28">
        <f>IF(N12&lt;=AK40,0,AA19)</f>
        <v>0</v>
      </c>
      <c r="AL41" s="28">
        <f>IF(N12&lt;=AL40,0,AA19)</f>
        <v>0</v>
      </c>
      <c r="AM41" s="28">
        <f>IF(N12&lt;=AM40,0,AA19)</f>
        <v>0</v>
      </c>
      <c r="AN41" s="31"/>
      <c r="AO41" s="31"/>
      <c r="AP41" s="31"/>
      <c r="AQ41" s="31"/>
      <c r="AR41" s="31"/>
      <c r="AS41" s="31"/>
      <c r="AT41" s="31"/>
      <c r="AU41" s="31"/>
      <c r="AV41" s="31"/>
      <c r="AW41" s="29"/>
      <c r="AX41" s="29"/>
      <c r="AY41" s="29"/>
      <c r="AZ41" s="29"/>
      <c r="BA41" s="29"/>
      <c r="BB41" s="29"/>
      <c r="BC41" s="29"/>
      <c r="BD41" s="29"/>
      <c r="BE41" s="29"/>
      <c r="BF41" s="29"/>
    </row>
    <row r="42" spans="1:59" ht="15.75" customHeight="1" x14ac:dyDescent="0.2">
      <c r="A42" s="78" t="s">
        <v>66</v>
      </c>
      <c r="B42" s="63"/>
      <c r="C42" s="63"/>
      <c r="D42" s="48"/>
      <c r="E42" s="48"/>
      <c r="F42" s="48"/>
      <c r="G42" s="14">
        <f>IF(N12&lt;=G40,0,AA19)</f>
        <v>76429.183999999994</v>
      </c>
      <c r="H42" s="14">
        <f>IF(N12&lt;=H40,0,G42*(1-N11+N10))</f>
        <v>75053.458687999999</v>
      </c>
      <c r="I42" s="14">
        <f>IF(N12&lt;=I40,0,H42*(1-N11+N10))</f>
        <v>73702.496431616004</v>
      </c>
      <c r="J42" s="14">
        <f>IF(N12&lt;=J40,0,I42*(1-N11+N10))</f>
        <v>72375.851495846917</v>
      </c>
      <c r="K42" s="14">
        <f>IF(N12&lt;=K40,0,J42*(1-N11+N10))</f>
        <v>71073.086168921669</v>
      </c>
      <c r="L42" s="14">
        <f>IF(N12&lt;=L40,0,K42*(1-N11+N10))</f>
        <v>69793.770617881077</v>
      </c>
      <c r="M42" s="14">
        <f>IF(N12&lt;=M40,0,L42*(1-N11+N10))</f>
        <v>68537.482746759211</v>
      </c>
      <c r="N42" s="14">
        <f>IF(N12&lt;=N40,0,M42*(1-N11+N10))</f>
        <v>67303.808057317539</v>
      </c>
      <c r="O42" s="14">
        <f>IF(N12&lt;=O40,0,N42*(1-N11+N10))</f>
        <v>66092.33951228582</v>
      </c>
      <c r="P42" s="14">
        <f>IF(N12&lt;=P40,0,O42*(1-N11+N10))</f>
        <v>64902.677401064677</v>
      </c>
      <c r="Q42" s="14">
        <f>IF(N12&lt;=Q40,0,P42*(1-N11+N10))</f>
        <v>63734.429207845511</v>
      </c>
      <c r="R42" s="14">
        <f>IF(N12&lt;=R40,0,Q42*(1-N11+N10))</f>
        <v>62587.209482104292</v>
      </c>
      <c r="S42" s="14">
        <f>IF(N12&lt;=S40,0,R42*(1-N11+N10))</f>
        <v>61460.639711426411</v>
      </c>
      <c r="T42" s="14">
        <f>IF(N12&lt;=T40,0,S42*(1-N11+N10))</f>
        <v>60354.348196620733</v>
      </c>
      <c r="U42" s="14">
        <f>IF(N12&lt;=U40,0,T42*(1-N11+N10))</f>
        <v>59267.969929081555</v>
      </c>
      <c r="V42" s="14">
        <f>IF(N12&lt;=V40,0,U42*(1-N11+N10))</f>
        <v>58201.146470358086</v>
      </c>
      <c r="W42" s="14">
        <f>IF(N12&lt;=W40,0,V42*(1-N11+N10))</f>
        <v>57153.525833891639</v>
      </c>
      <c r="X42" s="14">
        <f>IF(N12&lt;=X40,0,W42*(1-N11+N10))</f>
        <v>56124.762368881587</v>
      </c>
      <c r="Y42" s="14">
        <f>IF(N12&lt;=Y40,0,X42*(1-N11+N10))</f>
        <v>55114.516646241718</v>
      </c>
      <c r="Z42" s="14">
        <f>IF(N12&lt;=Z40,0,Y42*(1-N11+N10))</f>
        <v>54122.455346609364</v>
      </c>
      <c r="AA42" s="14">
        <f>IF(N12&lt;=AA40,0,Z42*(1-N11+N10))</f>
        <v>53148.251150370394</v>
      </c>
      <c r="AB42" s="14">
        <f>IF(N12&lt;=AB40,0,AA42*(1-N11+N10))</f>
        <v>52191.582629663724</v>
      </c>
      <c r="AC42" s="14">
        <f>IF(N12&lt;=AC40,0,AB42*(1-N11+N10))</f>
        <v>51252.134142329778</v>
      </c>
      <c r="AD42" s="14">
        <f>IF(N12&lt;=AD40,0,AC42*(1-N11+N10))</f>
        <v>50329.595727767839</v>
      </c>
      <c r="AE42" s="14">
        <f>IF(N12&lt;=AE40,0,AD42*(1-N11+N10))</f>
        <v>49423.663004668015</v>
      </c>
      <c r="AF42" s="28">
        <f>IF(N12&lt;=AF40,0,AE42*(1-N11+N10))</f>
        <v>0</v>
      </c>
      <c r="AG42" s="28">
        <f>IF(N12&lt;=AG40,0,AF42*(1-N11+N10))</f>
        <v>0</v>
      </c>
      <c r="AH42" s="30">
        <f>IF(N12&lt;=AH40,0,AG42*(1-N11+N10))</f>
        <v>0</v>
      </c>
      <c r="AI42" s="28">
        <f>IF(N12&lt;=AI40,0,AH42*(1-N11+N10))</f>
        <v>0</v>
      </c>
      <c r="AJ42" s="28">
        <f>IF(N12&lt;=AJ40,0,AI42*(1-N11+N10))</f>
        <v>0</v>
      </c>
      <c r="AK42" s="28">
        <f>IF(N12&lt;=AK40,0,AJ42*(1-N11+N10))</f>
        <v>0</v>
      </c>
      <c r="AL42" s="28">
        <f>IF(N12&lt;=AL40,0,AK42*(1-N11+N10))</f>
        <v>0</v>
      </c>
      <c r="AM42" s="28">
        <f>IF(N12&lt;=AM40,0,AL42*(1-N11+N10))</f>
        <v>0</v>
      </c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</row>
    <row r="43" spans="1:59" ht="15.75" customHeight="1" x14ac:dyDescent="0.2">
      <c r="A43" s="65"/>
      <c r="B43" s="63"/>
      <c r="C43" s="63"/>
      <c r="D43" s="10"/>
      <c r="E43" s="10"/>
      <c r="F43" s="10"/>
      <c r="G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10"/>
      <c r="BE43" s="10"/>
      <c r="BF43" s="10"/>
      <c r="BG43" s="10"/>
    </row>
    <row r="44" spans="1:59" ht="15.75" customHeight="1" x14ac:dyDescent="0.2">
      <c r="A44" s="33" t="s">
        <v>67</v>
      </c>
      <c r="B44" s="33" t="s">
        <v>17</v>
      </c>
      <c r="C44" s="33" t="s">
        <v>68</v>
      </c>
      <c r="U44" s="36"/>
      <c r="AJ44" s="37"/>
      <c r="AK44" s="37"/>
      <c r="AL44" s="37"/>
      <c r="AM44" s="37"/>
      <c r="AN44" s="37"/>
      <c r="AO44" s="38"/>
      <c r="AP44" s="38"/>
      <c r="AQ44" s="38"/>
    </row>
    <row r="45" spans="1:59" ht="15.75" customHeight="1" x14ac:dyDescent="0.2">
      <c r="A45" s="39">
        <v>22</v>
      </c>
      <c r="B45" s="40">
        <f>(A45*N7)</f>
        <v>0.70399999999999996</v>
      </c>
      <c r="C45" s="41">
        <f>(((LARGE(P16:Y19,1))+(LARGE(P19:Y19,2))+(LARGE(P16:Y19,3)))/3)*(B45)</f>
        <v>73106.175999999992</v>
      </c>
      <c r="D45" s="22"/>
      <c r="E45" s="22"/>
      <c r="F45" s="22">
        <f>IF(N12&lt;=F40,0,C45)</f>
        <v>73106.175999999992</v>
      </c>
      <c r="G45" s="22">
        <f>IF(N12&lt;=G40,0,F45*(1-N11+N10))</f>
        <v>71790.264831999986</v>
      </c>
      <c r="H45" s="22">
        <f>IF(N12&lt;=H40,0,G45*(1-N11+N10))</f>
        <v>70498.04006502399</v>
      </c>
      <c r="I45" s="22">
        <f>IF(N12&lt;=I3,0,H45*(1-N11+N10))</f>
        <v>69229.075343853561</v>
      </c>
      <c r="J45" s="22">
        <f>IF(N12&lt;=J40,0,I45*(1-N11+N10))</f>
        <v>67982.951987664201</v>
      </c>
      <c r="K45" s="22">
        <f>IF(N12&lt;=K40,0,J45*(1-N11+N10))</f>
        <v>66759.258851886247</v>
      </c>
      <c r="L45" s="22">
        <f>IF(N12&lt;=L40,0,K45*(1-N11+N10))</f>
        <v>65557.5921925523</v>
      </c>
      <c r="M45" s="22">
        <f>IF(N12&lt;=M40,0,L45*(1-N11+N10))</f>
        <v>64377.555533086357</v>
      </c>
      <c r="N45" s="22">
        <f>IF(N12&lt;=N40,0,M45*(1-N11+N10))</f>
        <v>63218.759533490804</v>
      </c>
      <c r="O45" s="22">
        <f>IF(N12&lt;=O40,0,N45*(1-N11+N10))</f>
        <v>62080.821861887969</v>
      </c>
      <c r="P45" s="22">
        <f>IF(N12&lt;=P40,0,O45*(1-N11+N10))</f>
        <v>60963.367068373984</v>
      </c>
      <c r="Q45" s="22">
        <f>IF(N12&lt;=Q40,0,P45*(1-N11+N10))</f>
        <v>59866.02646114325</v>
      </c>
      <c r="R45" s="22">
        <f>IF(N12&lt;=R40,0,Q45*(1-N11+N10))</f>
        <v>58788.437984842669</v>
      </c>
      <c r="S45" s="22">
        <f>IF(N12&lt;=S40,0,R45*(1-N11+N10))</f>
        <v>57730.246101115503</v>
      </c>
      <c r="T45" s="22">
        <f>IF(N12&lt;=T40,0,S45*(1-N11+N10))</f>
        <v>56691.101671295422</v>
      </c>
      <c r="U45" s="22">
        <f>IF(N12&lt;=U40,0,T45*(1-N11+N10))</f>
        <v>55670.661841212102</v>
      </c>
      <c r="V45" s="22">
        <f>IF(N12&lt;=V40,0,U45*(1-N11+N10))</f>
        <v>54668.589928070287</v>
      </c>
      <c r="W45" s="22">
        <f>IF(N12&lt;=W40,0,V45*(1-N11+N10))</f>
        <v>53684.555309365023</v>
      </c>
      <c r="X45" s="22">
        <f>IF(N12&lt;=X40,0,W45*(1-N11+N10))</f>
        <v>52718.233313796452</v>
      </c>
      <c r="Y45" s="22">
        <f>IF(N12&lt;=Y40,0,X45*(1-N11+N10))</f>
        <v>51769.305114148112</v>
      </c>
      <c r="Z45" s="22">
        <f>IF(N12&lt;=Z40,0,Y45*(1-N11+N10))</f>
        <v>50837.457622093447</v>
      </c>
      <c r="AA45" s="22">
        <f>IF(N12&lt;=AA40,0,Z45*(1-N11+N10))</f>
        <v>49922.383384895766</v>
      </c>
      <c r="AB45" s="22">
        <f>IF(N12&lt;=AB40,0,AA45*(1-N11+N10))</f>
        <v>49023.780483967639</v>
      </c>
      <c r="AC45" s="22">
        <f>IF(N12&lt;=AC40,0,AB45*(1-N11+N10))</f>
        <v>48141.352435256224</v>
      </c>
      <c r="AD45" s="22">
        <f>IF(N12&lt;=AD40,0,AC45*(1-N11+N10))</f>
        <v>47274.808091421612</v>
      </c>
      <c r="AE45" s="22">
        <f>IF(N12&lt;=AE40,0,AD45*(1-N11+N10))</f>
        <v>46423.861545776024</v>
      </c>
      <c r="AF45" s="22">
        <f>IF(N12&lt;=AF40,0,AE45*(1-N11+N10))</f>
        <v>0</v>
      </c>
      <c r="AG45" s="22">
        <f>IF(N12&lt;=AG40,0,AF45*(1-N11+N10))</f>
        <v>0</v>
      </c>
      <c r="AH45" s="22">
        <f>IF(N12&lt;=AH40,0,AG45*(1-N11+N10))</f>
        <v>0</v>
      </c>
      <c r="AI45" s="22">
        <f>IF(N12&lt;=AI40,0,AH45*(1-N11+N10))</f>
        <v>0</v>
      </c>
      <c r="AJ45" s="22">
        <f>IF(N12&lt;=AJ40,0,AI45*(1-N11+N10))</f>
        <v>0</v>
      </c>
      <c r="AK45" s="22">
        <f>IF(N12&lt;=AK40,0,AJ45*(1-N11+N10))</f>
        <v>0</v>
      </c>
      <c r="AL45" s="22">
        <f>IF(N12&lt;=AL40,0,AK45*(1-N11+N10))</f>
        <v>0</v>
      </c>
      <c r="AM45" s="22">
        <f>IF(N12&lt;=AM40,0,AL45*(1-N11+N10))</f>
        <v>0</v>
      </c>
      <c r="AN45" s="22"/>
      <c r="AO45" s="22"/>
      <c r="AP45" s="22"/>
      <c r="AQ45" s="22"/>
      <c r="AR45" s="22"/>
      <c r="AS45" s="13"/>
    </row>
    <row r="46" spans="1:59" ht="15.75" customHeight="1" x14ac:dyDescent="0.2">
      <c r="A46" s="39">
        <v>21</v>
      </c>
      <c r="B46" s="40">
        <f>(A46*N7)</f>
        <v>0.67200000000000004</v>
      </c>
      <c r="C46" s="41">
        <f>(((LARGE(O19:X19,1))+(LARGE(O19:X19,2))+(LARGE(O19:X19,3)))/3)*(B46)</f>
        <v>69783.168000000005</v>
      </c>
      <c r="D46" s="22"/>
      <c r="E46" s="22">
        <f>IF(N12&lt;=E40,0,C46)</f>
        <v>69783.168000000005</v>
      </c>
      <c r="F46" s="22">
        <f>IF(N12&lt;=F40,0,E46*(1-N11+N10))</f>
        <v>68527.070976000003</v>
      </c>
      <c r="G46" s="22">
        <f>IF(N12&lt;=G40,0,F46*(1-N11+N10))</f>
        <v>67293.583698432005</v>
      </c>
      <c r="H46" s="22">
        <f>IF(N12&lt;=H40,0,G46*(1-N11+N10))</f>
        <v>66082.299191860235</v>
      </c>
      <c r="I46" s="22">
        <f>IF(N12&lt;=I40,0,H46*(1-N11+N10))</f>
        <v>64892.817806406747</v>
      </c>
      <c r="J46" s="22">
        <f>IF(N12&lt;=J40,0,I46*(1-N11+N10))</f>
        <v>63724.747085891424</v>
      </c>
      <c r="K46" s="22">
        <f>IF(N12&lt;=K40,0,J46*(1-N11+N10))</f>
        <v>62577.701638345374</v>
      </c>
      <c r="L46" s="22">
        <f>IF(N12&lt;=L40,0,K46*(1-N11+N10))</f>
        <v>61451.303008855153</v>
      </c>
      <c r="M46" s="22">
        <f>IF(N12&lt;=M40,0,L46*(1-N11+N10))</f>
        <v>60345.179554695758</v>
      </c>
      <c r="N46" s="22">
        <f>IF(N12&lt;=N40,0,M46*(1-N11+N10))</f>
        <v>59258.966322711232</v>
      </c>
      <c r="O46" s="22">
        <f>IF(N12&lt;=O40,0,N46*(1-N11+N10))</f>
        <v>58192.304928902427</v>
      </c>
      <c r="P46" s="22">
        <f>IF(N12&lt;=P40,0,O46*(1-N11+N10))</f>
        <v>57144.84344018218</v>
      </c>
      <c r="Q46" s="22">
        <f>IF(N12&lt;=Q40,0,P46*(1-N11+N10))</f>
        <v>56116.236258258898</v>
      </c>
      <c r="R46" s="22">
        <f>IF(N12&lt;=R40,0,Q46*(1-N11+N10))</f>
        <v>55106.144005610236</v>
      </c>
      <c r="S46" s="22">
        <f>IF(N12&lt;=S40,0,R46*(1-N11+N10))</f>
        <v>54114.233413509253</v>
      </c>
      <c r="T46" s="22">
        <f>IF(N12&lt;=T40,0,S46*(1-N11+N10))</f>
        <v>53140.177212066083</v>
      </c>
      <c r="U46" s="22">
        <f>IF(N12&lt;=U40,0,T46*(1-N11+N10))</f>
        <v>52183.654022248891</v>
      </c>
      <c r="V46" s="22">
        <f>IF(N12&lt;=V40,0,U46*(1-N11+N10))</f>
        <v>51244.348249848408</v>
      </c>
      <c r="W46" s="22">
        <f>IF(N12&lt;=W40,0,V46*(1-N11+N10))</f>
        <v>50321.949981351136</v>
      </c>
      <c r="X46" s="22">
        <f>IF(N12&lt;=X40,0,W46*(1-N11+N10))</f>
        <v>49416.154881686816</v>
      </c>
      <c r="Y46" s="22">
        <f>IF(N12&lt;=Y40,0,X46*(1-N11+N10))</f>
        <v>48526.664093816449</v>
      </c>
      <c r="Z46" s="22">
        <f>IF(N12&lt;=Z40,0,Y46*(1-N11+N10))</f>
        <v>47653.184140127749</v>
      </c>
      <c r="AA46" s="22">
        <f>IF(N12&lt;=AA40,0,Z46*(1-N11+N10))</f>
        <v>46795.426825605449</v>
      </c>
      <c r="AB46" s="22">
        <f>IF(N12&lt;=AB40,0,AA46*(1-N11+N10))</f>
        <v>45953.10914274455</v>
      </c>
      <c r="AC46" s="22">
        <f>IF(N12&lt;=AC40,0,AB46*(1-N11+N10))</f>
        <v>45125.95317817515</v>
      </c>
      <c r="AD46" s="22">
        <f>IF(N12&lt;=AD40,0,AC46*(1-N11+N10))</f>
        <v>44313.686020967994</v>
      </c>
      <c r="AE46" s="22">
        <f>IF(N12&lt;=AE40,0,AD46*(1-N11+N10))</f>
        <v>43516.039672590567</v>
      </c>
      <c r="AF46" s="22">
        <f>IF(N12&lt;=AF40,0,AE46*(1-N11+N10))</f>
        <v>0</v>
      </c>
      <c r="AG46" s="22">
        <f>IF(N12&lt;=AG40,0,AF46*(1-N11+N10))</f>
        <v>0</v>
      </c>
      <c r="AH46" s="22">
        <f>IF(N12&lt;=AH40,0,AG46*(1-N11+N10))</f>
        <v>0</v>
      </c>
      <c r="AI46" s="22">
        <f>IF(N12&lt;=AI40,0,AH46*(1-N11+N10))</f>
        <v>0</v>
      </c>
      <c r="AJ46" s="22">
        <f>IF(N12&lt;=AJ40,0,AI46*(1-N11+N10))</f>
        <v>0</v>
      </c>
      <c r="AK46" s="22">
        <f>IF(N12&lt;=AK40,0,AJ46*(1-N11+N10))</f>
        <v>0</v>
      </c>
      <c r="AL46" s="22">
        <f>IF(N12&lt;=AL40,0,AK46*(1-N11+N10))</f>
        <v>0</v>
      </c>
      <c r="AM46" s="22">
        <f>IF(N12&lt;=AM40,0,AL46*(1-N11+N10))</f>
        <v>0</v>
      </c>
      <c r="AN46" s="22"/>
      <c r="AO46" s="22"/>
      <c r="AP46" s="22"/>
      <c r="AQ46" s="22"/>
      <c r="AR46" s="22"/>
      <c r="AS46" s="13"/>
    </row>
    <row r="47" spans="1:59" ht="15.75" customHeight="1" x14ac:dyDescent="0.2">
      <c r="A47" s="39">
        <v>20</v>
      </c>
      <c r="B47" s="40">
        <f>(A47*N7)</f>
        <v>0.64</v>
      </c>
      <c r="C47" s="41">
        <f>(((LARGE(N19:W19,1))+(LARGE(N19:W19,2))+(LARGE(N19:W19,3)))/3)*(B47)</f>
        <v>66460.160000000003</v>
      </c>
      <c r="D47" s="22">
        <f>IF(N12&lt;=D40,0,C47)</f>
        <v>66460.160000000003</v>
      </c>
      <c r="E47" s="22">
        <f>IF(N12&lt;=E40,0,D47*(1-N11+N10))</f>
        <v>65263.877120000005</v>
      </c>
      <c r="F47" s="22">
        <f>IF(N12&lt;=F40,0,E47*(1-N11+N10))</f>
        <v>64089.127331840005</v>
      </c>
      <c r="G47" s="22">
        <f>IF(N12&lt;=G40,0,F47*(1-N11+N10))</f>
        <v>62935.523039866886</v>
      </c>
      <c r="H47" s="22">
        <f>IF(N12&lt;=H40,0,G47*(1-N11+N10))</f>
        <v>61802.683625149279</v>
      </c>
      <c r="I47" s="22">
        <f>IF(N12&lt;=I40,0,H47*(1-N11+N10))</f>
        <v>60690.235319896594</v>
      </c>
      <c r="J47" s="22">
        <f>IF(N12&lt;=J40,0,I47*(1-N11+N10))</f>
        <v>59597.811084138455</v>
      </c>
      <c r="K47" s="22">
        <f>IF(N12&lt;=K40,0,J47*(1-N11+N10))</f>
        <v>58525.050484623964</v>
      </c>
      <c r="L47" s="22">
        <f>IF(N12&lt;=L40,0,K47*(1-N11+N10))</f>
        <v>57471.599575900735</v>
      </c>
      <c r="M47" s="22">
        <f>IF(N12&lt;=M40,0,L47*(1-N11+N10))</f>
        <v>56437.110783534517</v>
      </c>
      <c r="N47" s="22">
        <f>IF(N12&lt;=N40,0,M47*(1-N11+N10))</f>
        <v>55421.242789430893</v>
      </c>
      <c r="O47" s="22">
        <f>IF(N12&lt;=O40,0,N47*(1-N11+N10))</f>
        <v>54423.660419221138</v>
      </c>
      <c r="P47" s="22">
        <f>IF(N12&lt;=P40,0,O47*(1-N11+N10))</f>
        <v>53444.034531675155</v>
      </c>
      <c r="Q47" s="22">
        <f>IF(N12&lt;=Q40,0,P47*(1-N11+N10))</f>
        <v>52482.041910104999</v>
      </c>
      <c r="R47" s="22">
        <f>IF(N12&lt;=R40,0,Q47*(1-N11+N10))</f>
        <v>51537.365155723106</v>
      </c>
      <c r="S47" s="22">
        <f>IF(N12&lt;=S40,0,R47*(1-N11+N10))</f>
        <v>50609.692582920092</v>
      </c>
      <c r="T47" s="22">
        <f>IF(N12&lt;=T40,0,S47*(1-N11+N10))</f>
        <v>49698.718116427532</v>
      </c>
      <c r="U47" s="22">
        <f>IF(N12&lt;=U40,0,T47*(1-N11+N10))</f>
        <v>48804.141190331837</v>
      </c>
      <c r="V47" s="22">
        <f>IF(N12&lt;=V40,0,U47*(1-N11+N10))</f>
        <v>47925.666648905863</v>
      </c>
      <c r="W47" s="22">
        <f>IF(N12&lt;=W40,0,V47*(1-N11+N10))</f>
        <v>47063.004649225557</v>
      </c>
      <c r="X47" s="22">
        <f>IF(N12&lt;=X40,0,W47*(1-N11+N10))</f>
        <v>46215.870565539495</v>
      </c>
      <c r="Y47" s="22">
        <f>IF(N12&lt;=Y40,0,X47*(1-N11+N10))</f>
        <v>45383.984895359783</v>
      </c>
      <c r="Z47" s="22">
        <f>IF(N12&lt;=Z40,0,Y47*(1-N11+N10))</f>
        <v>44567.073167243303</v>
      </c>
      <c r="AA47" s="22">
        <f>IF(N12&lt;=AA40,0,Z47*(1-N11+N10))</f>
        <v>43764.86585023292</v>
      </c>
      <c r="AB47" s="22">
        <f>IF(N12&lt;=AB40,0,AA47*(1-N11+N10))</f>
        <v>42977.098264928725</v>
      </c>
      <c r="AC47" s="22">
        <f>IF(N12&lt;=AC40,0,AB47*(1-N11+N10))</f>
        <v>42203.510496160008</v>
      </c>
      <c r="AD47" s="22">
        <f>IF(N12&lt;=AD40,0,AC47*(1-N11+N10))</f>
        <v>41443.847307229131</v>
      </c>
      <c r="AE47" s="22">
        <f>IF(N12&lt;=AE40,0,AD47*(1-N11+N10))</f>
        <v>40697.858055699005</v>
      </c>
      <c r="AF47" s="22">
        <f>IF(N12&lt;=AF40,0,AE47*(1-N11+N10))</f>
        <v>0</v>
      </c>
      <c r="AG47" s="22">
        <f>IF(N12&lt;=AG40,0,AF47*(1-N11+N10))</f>
        <v>0</v>
      </c>
      <c r="AH47" s="22">
        <f>IF(N12&lt;=AH40,0,AG47*(1-N11+N10))</f>
        <v>0</v>
      </c>
      <c r="AI47" s="22">
        <f>IF(N12&lt;=AI40,0,AH47*(1-N11+N10))</f>
        <v>0</v>
      </c>
      <c r="AJ47" s="22">
        <f>IF(N12&lt;=AJ40,0,AI47*(1-N11+N10))</f>
        <v>0</v>
      </c>
      <c r="AK47" s="22">
        <f>IF(N12&lt;=AK40,0,AJ47*(1-N11+N10))</f>
        <v>0</v>
      </c>
      <c r="AL47" s="22">
        <f>IF(N12&lt;=AL40,0,AK47*(1-N11+N10))</f>
        <v>0</v>
      </c>
      <c r="AM47" s="22">
        <f>IF(N12&lt;=AM40,0,AL47*(1-N11+N10))</f>
        <v>0</v>
      </c>
      <c r="AN47" s="22"/>
      <c r="AO47" s="22"/>
      <c r="AP47" s="22"/>
      <c r="AQ47" s="22"/>
      <c r="AR47" s="22"/>
      <c r="AS47" s="13"/>
    </row>
    <row r="48" spans="1:59" ht="15.75" customHeight="1" x14ac:dyDescent="0.2">
      <c r="A48" s="39"/>
      <c r="B48" s="40"/>
      <c r="C48" s="41"/>
      <c r="D48" s="21"/>
      <c r="E48" s="21"/>
      <c r="F48" s="21"/>
      <c r="G48" s="2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51"/>
      <c r="AK48" s="51"/>
      <c r="AL48" s="51"/>
      <c r="AM48" s="51"/>
      <c r="AN48" s="51"/>
      <c r="AO48" s="13"/>
      <c r="AP48" s="13"/>
      <c r="AQ48" s="13"/>
      <c r="AR48" s="13"/>
      <c r="AS48" s="13"/>
    </row>
    <row r="49" spans="1:59" ht="15.75" customHeight="1" x14ac:dyDescent="0.25">
      <c r="A49" s="39"/>
      <c r="B49" s="40"/>
      <c r="C49" s="41"/>
      <c r="D49" s="21"/>
      <c r="E49" s="21"/>
      <c r="F49" s="75" t="s">
        <v>69</v>
      </c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51"/>
      <c r="AJ49" s="51"/>
      <c r="AK49" s="51"/>
      <c r="AL49" s="51"/>
      <c r="AM49" s="51"/>
      <c r="AN49" s="13"/>
      <c r="AO49" s="13"/>
      <c r="AP49" s="13"/>
      <c r="AQ49" s="13"/>
      <c r="AR49" s="13"/>
    </row>
    <row r="50" spans="1:59" ht="15.75" customHeight="1" x14ac:dyDescent="0.2">
      <c r="A50" s="39">
        <v>19</v>
      </c>
      <c r="B50" s="40">
        <f>(A50*N7)</f>
        <v>0.60799999999999998</v>
      </c>
      <c r="C50" s="41">
        <f>(((LARGE(M19:V19,1))+(LARGE(M19:V19,2))+(LARGE(M19:V19,3)))/3)*(B50)</f>
        <v>63137.152000000002</v>
      </c>
      <c r="D50" s="21"/>
      <c r="E50" s="21"/>
      <c r="F50" s="21">
        <f t="array" ref="F50">IF(N12&lt;=F40,0,NPV((N11-N10),0,0,0,C50))</f>
        <v>58788.702582018544</v>
      </c>
      <c r="G50" s="13">
        <f>IF(N12&lt;=G40,0,F50*(1-N11+N10))</f>
        <v>57730.505935542213</v>
      </c>
      <c r="H50" s="13">
        <f>IF(N12&lt;=H40,0,G50*(1-N11+N10))</f>
        <v>56691.356828702454</v>
      </c>
      <c r="I50" s="13">
        <f>IF(N12&lt;=I40,0,H50*(1-N11+N10))</f>
        <v>55670.912405785806</v>
      </c>
      <c r="J50" s="13">
        <f>IF(N12&lt;=J40,0,I50*(1-N11+N10))</f>
        <v>54668.835982481658</v>
      </c>
      <c r="K50" s="13">
        <f>IF(N12&lt;=K40,0,J50*(1-N11+N10))</f>
        <v>53684.796934796985</v>
      </c>
      <c r="L50" s="13">
        <f>IF(N12&lt;=L40,0,K50*(1-N11+N10))</f>
        <v>52718.470589970639</v>
      </c>
      <c r="M50" s="13">
        <f>IF(N12&lt;=M40,0,L50*(1-N11+N10))</f>
        <v>51769.538119351164</v>
      </c>
      <c r="N50" s="13">
        <f>IF(N12&lt;=N40,0,M50*(1-N11+N10))</f>
        <v>50837.686433202842</v>
      </c>
      <c r="O50" s="13">
        <f>IF(N12&lt;=O40,0,N50*(1-N11+N10))</f>
        <v>49922.608077405188</v>
      </c>
      <c r="P50" s="13">
        <f>IF(N12&lt;=P40,0,O50*(1-N11+N10))</f>
        <v>49024.001132011894</v>
      </c>
      <c r="Q50" s="13">
        <f>IF(N12&lt;=Q40,0,P50*(1-N11+N10))</f>
        <v>48141.569111635676</v>
      </c>
      <c r="R50" s="13">
        <f>IF(N12&lt;=R40,0,Q50*(1-N11+N10))</f>
        <v>47275.020867626234</v>
      </c>
      <c r="S50" s="13">
        <f>IF(N12&lt;=S40,0,R50*(1-N11+N10))</f>
        <v>46424.070492008963</v>
      </c>
      <c r="T50" s="13">
        <f>IF(N12&lt;=T40,0,S50*(1-N11+N10))</f>
        <v>45588.437223152803</v>
      </c>
      <c r="U50" s="13">
        <f>IF(N12&lt;=U40,0,T50*(1-N11+N10))</f>
        <v>44767.84535313605</v>
      </c>
      <c r="V50" s="13">
        <f>IF(N12&lt;=V40,0,U50*(1-N11+N10))</f>
        <v>43962.024136779597</v>
      </c>
      <c r="W50" s="13">
        <f>IF(N12&lt;=W40,0,V50*(1-N11+N10))</f>
        <v>43170.707702317566</v>
      </c>
      <c r="X50" s="13">
        <f>IF(N12&lt;=X40,0,W50*(1-N11+N10))</f>
        <v>42393.634963675846</v>
      </c>
      <c r="Y50" s="13">
        <f>IF(N12&lt;=Y40,0,X50*(1-N11+N10))</f>
        <v>41630.549534329679</v>
      </c>
      <c r="Z50" s="13">
        <f>IF(N12&lt;=Z40,0,Y50*(1-N11+N10))</f>
        <v>40881.199642711741</v>
      </c>
      <c r="AA50" s="13">
        <f>IF(N12&lt;=AA40,0,Z50*(1-N11+N10))</f>
        <v>40145.338049142927</v>
      </c>
      <c r="AB50" s="13">
        <f>IF(N12&lt;=AB40,0,AA50*(1-N11+N10))</f>
        <v>39422.721964258351</v>
      </c>
      <c r="AC50" s="13">
        <f>IF(N12&lt;=AC40,0,AB50*(1-N11+N10))</f>
        <v>38713.112968901703</v>
      </c>
      <c r="AD50" s="13">
        <f>IF(N12&lt;=AD40,0,AC50*(1-N11+N10))</f>
        <v>38016.276935461472</v>
      </c>
      <c r="AE50" s="13">
        <f>IF(N12&lt;=AE40,0,AD50*(1-N11+N10))</f>
        <v>37331.983950623166</v>
      </c>
      <c r="AF50" s="13">
        <f>IF(N12&lt;=AF40,0,AE50*(1-N11+N10))</f>
        <v>0</v>
      </c>
      <c r="AG50" s="13">
        <f>IF(N12&lt;=AG40,0,AF50*(1-N11+N10))</f>
        <v>0</v>
      </c>
      <c r="AH50" s="13">
        <f>IF(N12&lt;=AH40,0,AG50*(1-N11+N10))</f>
        <v>0</v>
      </c>
      <c r="AI50" s="13">
        <f>IF(N12&lt;=AI40,0,AH50*(1-N11+N10))</f>
        <v>0</v>
      </c>
      <c r="AJ50" s="13">
        <f>IF(N12&lt;=AJ40,0,AI50*(1-N11+N10))</f>
        <v>0</v>
      </c>
      <c r="AK50" s="13">
        <f>IF(N12&lt;=AK40,0,AJ50*(1-N11+N10))</f>
        <v>0</v>
      </c>
      <c r="AL50" s="13">
        <f>IF(N12&lt;=AL40,0,AK50*(1-N11+N10))</f>
        <v>0</v>
      </c>
      <c r="AM50" s="13">
        <f>IF(N12&lt;=AM40,0,AL50*(1-N11+N10))</f>
        <v>0</v>
      </c>
      <c r="AN50" s="13"/>
      <c r="AO50" s="13"/>
      <c r="AP50" s="13"/>
      <c r="AQ50" s="13"/>
      <c r="AR50" s="13"/>
    </row>
    <row r="51" spans="1:59" ht="15.75" customHeight="1" x14ac:dyDescent="0.2">
      <c r="A51" s="39">
        <v>18</v>
      </c>
      <c r="B51" s="40">
        <f>(A51*N7)</f>
        <v>0.57600000000000007</v>
      </c>
      <c r="C51" s="41">
        <f>(((LARGE(L19:U19,1))+(LARGE(L19:U19,2))+(LARGE(L19:U19,3)))/3)*(B51)</f>
        <v>58509.312000000013</v>
      </c>
      <c r="D51" s="21"/>
      <c r="E51" s="21"/>
      <c r="F51" s="21">
        <f t="array" ref="F51">IF(N12&lt;=F40,0,NPV((N11-N10),0,0,0,0,C51))</f>
        <v>53516.302676876308</v>
      </c>
      <c r="G51" s="13">
        <f>IF(N12&lt;=G40,0,F51*(1-N11+N10))</f>
        <v>52553.009228692536</v>
      </c>
      <c r="H51" s="13">
        <f>IF(N12&lt;=H40,0,G51*(1-N11+N10))</f>
        <v>51607.055062576066</v>
      </c>
      <c r="I51" s="13">
        <f>IF(N12&lt;=I40,0,H51*(1-N11+N10))</f>
        <v>50678.128071449697</v>
      </c>
      <c r="J51" s="13">
        <f>IF(N12&lt;=J40,0,I51*(1-N11+N10))</f>
        <v>49765.921766163599</v>
      </c>
      <c r="K51" s="13">
        <f>IF(N12&lt;=K40,0,J51*(1-N11+N10))</f>
        <v>48870.135174372655</v>
      </c>
      <c r="L51" s="13">
        <f>IF(N12&lt;=L40,0,K51*(1-N11+N10))</f>
        <v>47990.472741233949</v>
      </c>
      <c r="M51" s="13">
        <f>IF(N12&lt;=M40,0,L51*(1-N11+N10))</f>
        <v>47126.64423189174</v>
      </c>
      <c r="N51" s="13">
        <f>IF(N12&lt;=N40,0,M51*(1-N11+N10))</f>
        <v>46278.364635717691</v>
      </c>
      <c r="O51" s="13">
        <f>IF(N12&lt;=O40,0,N51*(1-N11+N10))</f>
        <v>45445.354072274771</v>
      </c>
      <c r="P51" s="13">
        <f>IF(N12&lt;=U40,0,O51*(1-N11+N10))</f>
        <v>44627.337698973824</v>
      </c>
      <c r="Q51" s="13">
        <f>IF(N12&lt;=Q40,0,P51*(1-N11+N10))</f>
        <v>43824.045620392295</v>
      </c>
      <c r="R51" s="13">
        <f>IF(N12&lt;=R40,0,Q51*(1-N11+N10))</f>
        <v>43035.212799225235</v>
      </c>
      <c r="S51" s="13">
        <f>IF(N12&lt;=S40,0,R51*(1-N11+N10))</f>
        <v>42260.578968839181</v>
      </c>
      <c r="T51" s="13">
        <f>IF(N12&lt;=T40,0,S51*(1-N11+N10))</f>
        <v>41499.888547400078</v>
      </c>
      <c r="U51" s="13">
        <f>IF(N12&lt;=U40,0,T51*(1-N11+N10))</f>
        <v>40752.890553546873</v>
      </c>
      <c r="V51" s="13">
        <f>IF(N12&lt;=V40,0,U51*(1-N11+N10))</f>
        <v>40019.338523583028</v>
      </c>
      <c r="W51" s="13">
        <f>IF(N12&lt;=W40,0,V51*(1-N11+N10))</f>
        <v>39298.990430158534</v>
      </c>
      <c r="X51" s="13">
        <f>IF(N12&lt;=X40,0,W51*(1-N11+N10))</f>
        <v>38591.608602415683</v>
      </c>
      <c r="Y51" s="13">
        <f>IF(N12&lt;=Y40,0,X51*(1-N11+N10))</f>
        <v>37896.959647572199</v>
      </c>
      <c r="Z51" s="13">
        <f>IF(N12&lt;=Z40,0,Y51*(1-N11+N10))</f>
        <v>37214.814373915899</v>
      </c>
      <c r="AA51" s="13">
        <f>IF(N12&lt;=AA40,0,Z51*(1-N11+N10))</f>
        <v>36544.947715185415</v>
      </c>
      <c r="AB51" s="13">
        <f>IF(N12&lt;=AB40,0,AA51*(1-N11+N10))</f>
        <v>35887.138656312076</v>
      </c>
      <c r="AC51" s="13">
        <f>IF(N12&lt;=AC40,0,AB51*(1-N11+N10))</f>
        <v>35241.170160498456</v>
      </c>
      <c r="AD51" s="13">
        <f>IF(N12&lt;=AD40,0,AC51*(1-N11+N10))</f>
        <v>34606.82909760948</v>
      </c>
      <c r="AE51" s="13">
        <f>IF(N12&lt;=AE40,0,AD51*(1-N11+N10))</f>
        <v>33983.906173852505</v>
      </c>
      <c r="AF51" s="13">
        <f>IF(N12&lt;=AF40,0,AE51*(1-N11+N10))</f>
        <v>0</v>
      </c>
      <c r="AG51" s="13">
        <f>IF(N12&lt;=AG40,0,AF51*(1-N11+N10))</f>
        <v>0</v>
      </c>
      <c r="AH51" s="13">
        <f>IF(N12&lt;=AH40,0,AG51*(1-N11+N10))</f>
        <v>0</v>
      </c>
      <c r="AI51" s="13">
        <f>IF(N12&lt;=AI40,0,AH51*(1-N11+N10))</f>
        <v>0</v>
      </c>
      <c r="AJ51" s="13">
        <f>IF(N12&lt;=AJ40,0,AI51*(1-N11+N10))</f>
        <v>0</v>
      </c>
      <c r="AK51" s="13">
        <f>IF(N12&lt;=AK40,0,AJ51*(1-N11+N10))</f>
        <v>0</v>
      </c>
      <c r="AL51" s="13">
        <f>IF(N12&lt;=AL40,0,AK51*(1-N11+N10))</f>
        <v>0</v>
      </c>
      <c r="AM51" s="13">
        <f>IF(N12&lt;=AM40,0,AL51*(1-N11+N10))</f>
        <v>0</v>
      </c>
      <c r="AN51" s="13"/>
      <c r="AO51" s="13"/>
      <c r="AP51" s="13"/>
      <c r="AQ51" s="13"/>
      <c r="AR51" s="13"/>
    </row>
    <row r="52" spans="1:59" ht="15.75" customHeight="1" x14ac:dyDescent="0.2">
      <c r="A52" s="39">
        <v>17</v>
      </c>
      <c r="B52" s="40">
        <f>(A52*N7)</f>
        <v>0.54400000000000004</v>
      </c>
      <c r="C52" s="41">
        <f>(((LARGE(K19:T19,1))+(LARGE(K19:T19,2))+(LARGE(K19:T19,3)))/3)*(B52)</f>
        <v>54026.453333333331</v>
      </c>
      <c r="D52" s="21"/>
      <c r="E52" s="21"/>
      <c r="F52" s="21">
        <f t="array" ref="F52">IF(N12&lt;=F40,0,NPV((N11-N10),0,0,0,0,0,C52))</f>
        <v>48542.237458631971</v>
      </c>
      <c r="G52" s="13">
        <f>IF(N12&lt;=G40,0,F52*(1-N11+N10))</f>
        <v>47668.477184376592</v>
      </c>
      <c r="H52" s="13">
        <f>IF(N12&lt;=H40,0,G52*(1-N11+N10))</f>
        <v>46810.444595057816</v>
      </c>
      <c r="I52" s="13">
        <f>IF(N12&lt;=I40,0,H52*(1-N11+N10))</f>
        <v>45967.856592346776</v>
      </c>
      <c r="J52" s="13">
        <f>IF(N12&lt;=J40,0,I52*(1-N11+N10))</f>
        <v>45140.435173684535</v>
      </c>
      <c r="K52" s="13">
        <f>IF(N12&lt;=K40,0,J52*(1-N11+N10))</f>
        <v>44327.907340558209</v>
      </c>
      <c r="L52" s="13">
        <f>IF(N12&lt;=L40,0,K52*(1-N11+N10))</f>
        <v>43530.005008428161</v>
      </c>
      <c r="M52" s="13">
        <f>IF(N12&lt;=M40,0,L52*(1-N11+N10))</f>
        <v>42746.464918276455</v>
      </c>
      <c r="N52" s="13">
        <f>IF(N12&lt;=N40,0,M52*(1-N11+N10))</f>
        <v>41977.028549747476</v>
      </c>
      <c r="O52" s="13">
        <f>IF(N12&lt;=O40,0,N52*(1-N11+N10))</f>
        <v>41221.442035852022</v>
      </c>
      <c r="P52" s="13">
        <f>IF(N12&lt;=P40,0,O52*(1-N11+N10))</f>
        <v>40479.456079206684</v>
      </c>
      <c r="Q52" s="13">
        <f>IF(N12&lt;=Q40,0,P52*(1-N11+N10))</f>
        <v>39750.825869780965</v>
      </c>
      <c r="R52" s="13">
        <f>IF(N12&lt;=R40,0,Q52*(1-N11+N10))</f>
        <v>39035.311004124909</v>
      </c>
      <c r="S52" s="13">
        <f>IF(N12&lt;=S40,0,R52*(1-N11+N10))</f>
        <v>38332.675406050657</v>
      </c>
      <c r="T52" s="13">
        <f>IF(N12&lt;=T40,0,S52*(1-N11+N10))</f>
        <v>37642.687248741742</v>
      </c>
      <c r="U52" s="13">
        <f>IF(N12&lt;=U40,0,T52*(1-N11+N10))</f>
        <v>36965.118878264388</v>
      </c>
      <c r="V52" s="13">
        <f>IF(N12&lt;=V40,0,U52*(1-N11+N10))</f>
        <v>36299.746738455629</v>
      </c>
      <c r="W52" s="13">
        <f>IF(N12&lt;=W40,0,V52*(1-N11+N10))</f>
        <v>35646.351297163426</v>
      </c>
      <c r="X52" s="13">
        <f>IF(N12&lt;=X40,0,W52*(1-N11+N10))</f>
        <v>35004.716973814488</v>
      </c>
      <c r="Y52" s="13">
        <f>IF(N12&lt;=Y40,0,X52*(1-N11+N10))</f>
        <v>34374.632068285828</v>
      </c>
      <c r="Z52" s="13">
        <f>IF(N12&lt;=Z40,0,Y52*(1-N11+N10))</f>
        <v>33755.88869105668</v>
      </c>
      <c r="AA52" s="13">
        <f>IF(N12&lt;=AA40,0,Z52*(1-N11+N10))</f>
        <v>33148.282694617657</v>
      </c>
      <c r="AB52" s="13">
        <f>IF(N12&lt;=AB40,0,AA52*(1-N11+N10))</f>
        <v>32551.613606114541</v>
      </c>
      <c r="AC52" s="13">
        <f>IF(N12&lt;=AC40,0,AB52*(1-N11+N10))</f>
        <v>31965.684561204478</v>
      </c>
      <c r="AD52" s="13">
        <f>IF(N12&lt;=AD40,0,AC52*(1-N11+N10))</f>
        <v>31390.302239102795</v>
      </c>
      <c r="AE52" s="13">
        <f>IF(N12&lt;=AE40,0,AD52*(1-N11+N10))</f>
        <v>30825.276798798943</v>
      </c>
      <c r="AF52" s="13">
        <f>IF(N12&lt;=AF40,0,AE52*(1-N11+N10))</f>
        <v>0</v>
      </c>
      <c r="AG52" s="13">
        <f>IF(N12&lt;=AG40,0,AF52*(1-N11+N10))</f>
        <v>0</v>
      </c>
      <c r="AH52" s="13">
        <f>IF(N12&lt;=AH40,0,AG52*(1-N11+N10))</f>
        <v>0</v>
      </c>
      <c r="AI52" s="13">
        <f>IF(N12&lt;=AI40,0,AH52*(1-N11+N10))</f>
        <v>0</v>
      </c>
      <c r="AJ52" s="13">
        <f>IF(N12&lt;=AJ40,0,AI52*(1-N11+N10))</f>
        <v>0</v>
      </c>
      <c r="AK52" s="13">
        <f>IF(N12&lt;=AK40,0,AJ52*(1-N11+N10))</f>
        <v>0</v>
      </c>
      <c r="AL52" s="13">
        <f>IF(N12&lt;=AL40,0,AK52*(1-N11+N10))</f>
        <v>0</v>
      </c>
      <c r="AM52" s="13">
        <f>IF(N12&lt;=AM40,0,AL52*(1-N11+N10))</f>
        <v>0</v>
      </c>
      <c r="AN52" s="13"/>
      <c r="AO52" s="13"/>
      <c r="AP52" s="13"/>
      <c r="AQ52" s="13"/>
      <c r="AR52" s="13"/>
    </row>
    <row r="53" spans="1:59" ht="15.75" customHeight="1" x14ac:dyDescent="0.2">
      <c r="A53" s="39">
        <v>16</v>
      </c>
      <c r="B53" s="40">
        <f>(A53*N7)</f>
        <v>0.51200000000000001</v>
      </c>
      <c r="C53" s="41">
        <f>(((LARGE(J19:S19,1))+(LARGE(J19:S19,2))+(LARGE(J19:S19,3)))/3)*(B53)</f>
        <v>48605.354666666666</v>
      </c>
      <c r="D53" s="21"/>
      <c r="E53" s="21"/>
      <c r="F53" s="21">
        <f t="array" ref="F53">IF(N12&lt;=F40,0,NPV((N11-N10),0,0,0,0,0,0,C53))</f>
        <v>42899.247125825495</v>
      </c>
      <c r="G53" s="13">
        <f>IF(N12&lt;=G40,0,F53*(1-N11+N10))</f>
        <v>42127.060677560636</v>
      </c>
      <c r="H53" s="13">
        <f>IF(N12&lt;=H40,0,G53*(1-N11+N10))</f>
        <v>41368.773585364543</v>
      </c>
      <c r="I53" s="13">
        <f>IF(N12&lt;=I40,0,H53*(1-N11+N10))</f>
        <v>40624.135660827982</v>
      </c>
      <c r="J53" s="13">
        <f>IF(N12&lt;=J40,0,I53*(1-N11+N10))</f>
        <v>39892.901218933075</v>
      </c>
      <c r="K53" s="13">
        <f>IF(N12&lt;=K40,0,J53*(1-N11+N10))</f>
        <v>39174.828996992277</v>
      </c>
      <c r="L53" s="13">
        <f>IF(N12&lt;=L40,0,K53*(1-N11+N10))</f>
        <v>38469.682075046418</v>
      </c>
      <c r="M53" s="13">
        <f>IF(N12&lt;=M40,0,L53*(1-N11+N10))</f>
        <v>37777.227797695581</v>
      </c>
      <c r="N53" s="13">
        <f>IF(N12&lt;=N40,0,M53*(1-N11+N10))</f>
        <v>37097.237697337063</v>
      </c>
      <c r="O53" s="13">
        <f>IF(N12&lt;=O40,0,N53*(1-N11+N10))</f>
        <v>36429.487418784993</v>
      </c>
      <c r="P53" s="13">
        <f>IF(N12&lt;=P40,0,O53*(1-N11+N10))</f>
        <v>35773.75664524686</v>
      </c>
      <c r="Q53" s="13">
        <f>IF(N12&lt;=Q40,0,P53*(1-N11+N10))</f>
        <v>35129.829025632418</v>
      </c>
      <c r="R53" s="13">
        <f>IF(N12&lt;=R40,0,Q53*(1-N11+N10))</f>
        <v>34497.492103171033</v>
      </c>
      <c r="S53" s="13">
        <f>IF(N12&lt;=S40,0,R53*(1-N11+N10))</f>
        <v>33876.537245313957</v>
      </c>
      <c r="T53" s="13">
        <f>IF(N12&lt;=T40,0,S53*(1-N11+N10))</f>
        <v>33266.759574898308</v>
      </c>
      <c r="U53" s="13">
        <f>IF(N12&lt;=U40,0,T53*(1-N11+N10))</f>
        <v>32667.957902550137</v>
      </c>
      <c r="V53" s="13">
        <f>IF(N12&lt;=V40,0,U53*(1-N11+N10))</f>
        <v>32079.934660304236</v>
      </c>
      <c r="W53" s="13">
        <f>IF(N12&lt;=W40,0,V53*(1-N11+N10))</f>
        <v>31502.495836418759</v>
      </c>
      <c r="X53" s="13">
        <f>IF(N12&lt;=X40,0,W53*(1-N11+N10))</f>
        <v>30935.450911363219</v>
      </c>
      <c r="Y53" s="13">
        <f>IF(N12&lt;=Y40,0,X53*(1-N11+N10))</f>
        <v>30378.612794958681</v>
      </c>
      <c r="Z53" s="13">
        <f>IF(N12&lt;=Z40,0,Y53*(1-N11+N10))</f>
        <v>29831.797764649426</v>
      </c>
      <c r="AA53" s="13">
        <f>IF(N12&lt;=AA40,0,Z53*(1-N11+N10))</f>
        <v>29294.825404885734</v>
      </c>
      <c r="AB53" s="13">
        <f>IF(N12&lt;=AB40,0,AA53*(1-N11+N10))</f>
        <v>28767.518547597792</v>
      </c>
      <c r="AC53" s="13">
        <f>IF(N12&lt;=AC40,0,AB53*(1-N11+N10))</f>
        <v>28249.703213741032</v>
      </c>
      <c r="AD53" s="13">
        <f>IF(N12&lt;=AD40,0,AC53*(1-N11+N10))</f>
        <v>27741.208555893692</v>
      </c>
      <c r="AE53" s="13">
        <f>IF(N12&lt;=AE40,0,AD53*(1-N11+N10))</f>
        <v>27241.866801887605</v>
      </c>
      <c r="AF53" s="13">
        <f>IF(N12&lt;=AF40,0,AE53*(1-N11+N10))</f>
        <v>0</v>
      </c>
      <c r="AG53" s="13">
        <f>IF(N12&lt;=AG40,0,AF53*(1-N11+N10))</f>
        <v>0</v>
      </c>
      <c r="AH53" s="13">
        <f>IF(N12&lt;=AH40,0,AG53*(1-N11+N10))</f>
        <v>0</v>
      </c>
      <c r="AI53" s="13">
        <f>IF(N12&lt;=AI40,0,AH53*(1-N11+N10))</f>
        <v>0</v>
      </c>
      <c r="AJ53" s="13">
        <f>IF(N12&lt;=AJ40,0,AI53*(1-N11+N10))</f>
        <v>0</v>
      </c>
      <c r="AK53" s="13">
        <f>IF(N12&lt;=AK40,0,AJ53*(1-N11+N10))</f>
        <v>0</v>
      </c>
      <c r="AL53" s="13">
        <f>IF(N12&lt;=AL40,0,AK53*(1-N11+N10))</f>
        <v>0</v>
      </c>
      <c r="AM53" s="13">
        <f>IF(N12&lt;=AM40,0,AL53*(1-N11+N10))</f>
        <v>0</v>
      </c>
      <c r="AN53" s="13"/>
      <c r="AO53" s="13"/>
      <c r="AP53" s="13"/>
      <c r="AQ53" s="13"/>
      <c r="AR53" s="13"/>
    </row>
    <row r="54" spans="1:59" ht="15.75" customHeight="1" x14ac:dyDescent="0.2">
      <c r="A54" s="39">
        <v>15</v>
      </c>
      <c r="B54" s="40">
        <f>(A54*N7)</f>
        <v>0.48</v>
      </c>
      <c r="C54" s="41">
        <f>(((LARGE(I19:R19,1))+(LARGE(I19:R19,2))+(LARGE(I19:R19,3)))/3)*(B54)</f>
        <v>43353.599999999999</v>
      </c>
      <c r="D54" s="21"/>
      <c r="E54" s="21"/>
      <c r="F54" s="21">
        <f t="array" ref="F54">IF(N12&lt;=F40,0,NPV((N11-N10),0,0,0,0,0,0,0,C54))</f>
        <v>37587.456827770686</v>
      </c>
      <c r="G54" s="13">
        <f>IF(N12&lt;=G40,0,F54*(1-N11+N10))</f>
        <v>36910.882604870814</v>
      </c>
      <c r="H54" s="13">
        <f>IF(N12&lt;=H40,0,G54*(1-N11+N10))</f>
        <v>36246.486717983142</v>
      </c>
      <c r="I54" s="13">
        <f>IF(N12&lt;=I40,0,H54*(1-N11+N10))</f>
        <v>35594.049957059447</v>
      </c>
      <c r="J54" s="13">
        <f>IF(N12&lt;=J40,0,I54*(1-N11+N10))</f>
        <v>34953.357057832378</v>
      </c>
      <c r="K54" s="13">
        <f>IF(N12&lt;=K40,0,J54*(1-N11+N10))</f>
        <v>34324.196630791397</v>
      </c>
      <c r="L54" s="13">
        <f>IF(N12&lt;=L40,0,K54*(1-N11+N10))</f>
        <v>33706.361091437153</v>
      </c>
      <c r="M54" s="13">
        <f>IF(N12&lt;=M40,0,L54*(1-N11+N10))</f>
        <v>33099.646591791286</v>
      </c>
      <c r="N54" s="13">
        <f>IF(N12&lt;=N40,0,M54*(1-N11+N10))</f>
        <v>32503.852953139041</v>
      </c>
      <c r="O54" s="13">
        <f>IF(N12&lt;=O40,0,N54*(1-N11+N10))</f>
        <v>31918.783599982537</v>
      </c>
      <c r="P54" s="13">
        <f>IF(N12&lt;=P40,0,O54*(1-N11+N10))</f>
        <v>31344.245495182851</v>
      </c>
      <c r="Q54" s="13">
        <f>IF(N12&lt;=Q40,0,P54*(1-N11+N10))</f>
        <v>30780.049076269559</v>
      </c>
      <c r="R54" s="13">
        <f>IF(N12&lt;=R40,0,Q54*(1-N11+N10))</f>
        <v>30226.008192896705</v>
      </c>
      <c r="S54" s="13">
        <f>IF(N12&lt;=S40,0,R54*(1-N11+N10))</f>
        <v>29681.940045424562</v>
      </c>
      <c r="T54" s="13">
        <f>IF(N12&lt;=T40,0,S54*(1-N11+N10))</f>
        <v>29147.66512460692</v>
      </c>
      <c r="U54" s="13">
        <f>IF(N12&lt;=U40,0,T54*(1-N11+N10))</f>
        <v>28623.007152363996</v>
      </c>
      <c r="V54" s="13">
        <f>IF(N12&lt;=V40,0,U54*(1-N11+N10))</f>
        <v>28107.793023621445</v>
      </c>
      <c r="W54" s="13">
        <f>IF(N12&lt;=W40,0,V54*(1-N11+N10))</f>
        <v>27601.85274919626</v>
      </c>
      <c r="X54" s="13">
        <f>IF(N12&lt;=X40,0,W54*(1-N11+N10))</f>
        <v>27105.019399710727</v>
      </c>
      <c r="Y54" s="13">
        <f>IF(N12&lt;=Y40,0,X54*(1-N11+N10))</f>
        <v>26617.129050515934</v>
      </c>
      <c r="Z54" s="13">
        <f>IF(N12&lt;=Z40,0,Y54*(1-N11+N10))</f>
        <v>26138.020727606647</v>
      </c>
      <c r="AA54" s="13">
        <f>IF(N12&lt;=AA40,0,Z54*(1-N11+N10))</f>
        <v>25667.536354509728</v>
      </c>
      <c r="AB54" s="13">
        <f>IF(N12&lt;=AB40,0,AA54*(1-N11+N10))</f>
        <v>25205.520700128553</v>
      </c>
      <c r="AC54" s="13">
        <f>IF(N12&lt;=AC40,0,AB54*(1-N11+N10))</f>
        <v>24751.821327526239</v>
      </c>
      <c r="AD54" s="13">
        <f>IF(N12&lt;=AD40,0,AC54*(1-N11+N10))</f>
        <v>24306.288543630766</v>
      </c>
      <c r="AE54" s="13">
        <f>IF(N12&lt;=AE40,0,AD54*(1-N11+N10))</f>
        <v>23868.775349845411</v>
      </c>
      <c r="AF54" s="13">
        <f>IF(N12&lt;=AF40,0,AE54*(1-N11+N10))</f>
        <v>0</v>
      </c>
      <c r="AG54" s="13">
        <f>IF(N12&lt;=AG40,0,AF54*(1-N11+N10))</f>
        <v>0</v>
      </c>
      <c r="AH54" s="13">
        <f>IF(N12&lt;=AH40,0,AG54*(1-N11+N10))</f>
        <v>0</v>
      </c>
      <c r="AI54" s="13">
        <f>IF(N12&lt;=AI40,0,AH54*(1-N11+N10))</f>
        <v>0</v>
      </c>
      <c r="AJ54" s="13">
        <f>IF(N12&lt;=AJ40,0,AI54*(1-N11+N10))</f>
        <v>0</v>
      </c>
      <c r="AK54" s="13">
        <f>IF(N12&lt;=AK40,0,AJ54*(1-N11+N10))</f>
        <v>0</v>
      </c>
      <c r="AL54" s="13">
        <f>IF(N12&lt;=AL40,0,AK54*(1-N11+N10))</f>
        <v>0</v>
      </c>
      <c r="AM54" s="13">
        <f>IF(N12&lt;=AM40,0,AL54*(1-N11+N10))</f>
        <v>0</v>
      </c>
      <c r="AN54" s="13"/>
      <c r="AO54" s="13"/>
      <c r="AP54" s="13"/>
      <c r="AQ54" s="13"/>
      <c r="AR54" s="13"/>
    </row>
    <row r="55" spans="1:59" ht="15.75" customHeight="1" x14ac:dyDescent="0.2">
      <c r="A55" s="39">
        <v>14</v>
      </c>
      <c r="B55" s="40">
        <f>(A55*N7)</f>
        <v>0.44800000000000001</v>
      </c>
      <c r="C55" s="41">
        <f>(((LARGE(H19:Q19,1))+(LARGE(H19:Q19,2))+(LARGE(H19:Q19,3)))/3)*(B55)</f>
        <v>38397.034666666666</v>
      </c>
      <c r="D55" s="21"/>
      <c r="E55" s="21"/>
      <c r="F55" s="21">
        <f t="array" ref="F55">IF(N12&lt;=F40,0,NPV((N11-N10),0,0,0,0,0,0,0,0,C55))</f>
        <v>32701.50074637635</v>
      </c>
      <c r="G55" s="13">
        <f>IF(N12&lt;=G40,0,F55*(1-N11+N10))</f>
        <v>32112.873732941574</v>
      </c>
      <c r="H55" s="13">
        <f>IF(N12&lt;=H40,0,G55*(1-N11+N10))</f>
        <v>31534.842005748626</v>
      </c>
      <c r="I55" s="13">
        <f>IF(N12&lt;=I40,0,H55*(1-N11+N10))</f>
        <v>30967.214849645148</v>
      </c>
      <c r="J55" s="13">
        <f>IF(N12&lt;=J40,0,I55*(1-N11+N10))</f>
        <v>30409.804982351536</v>
      </c>
      <c r="K55" s="13">
        <f>IF(N12&lt;=K40,0,J55*(1-N11+N10))</f>
        <v>29862.428492669209</v>
      </c>
      <c r="L55" s="13">
        <f>IF(N12&lt;=L40,0,K55*(1-N11+N10))</f>
        <v>29324.904779801163</v>
      </c>
      <c r="M55" s="13">
        <f>IF(N12&lt;=M40,0,L55*(1-N11+N10))</f>
        <v>28797.056493764743</v>
      </c>
      <c r="N55" s="13">
        <f>IF(N12&lt;=N40,0,M55*(1-N11+N10))</f>
        <v>28278.709476876978</v>
      </c>
      <c r="O55" s="13">
        <f>IF(N12&lt;=O40,0,N55*(1-N11+N10))</f>
        <v>27769.692706293194</v>
      </c>
      <c r="P55" s="13">
        <f>IF(N12&lt;=P40,0,O55*(1-N11+N10))</f>
        <v>27269.838237579916</v>
      </c>
      <c r="Q55" s="13">
        <f>IF(N12&lt;=Q40,0,P55*(1-N11+N10))</f>
        <v>26778.981149303476</v>
      </c>
      <c r="R55" s="13">
        <f>IF(N12&lt;=R40,0,Q55*(1-N11+N10))</f>
        <v>26296.959488616012</v>
      </c>
      <c r="S55" s="13">
        <f>IF(N12&lt;=S40,0,R55*(1-N11+N10))</f>
        <v>25823.614217820923</v>
      </c>
      <c r="T55" s="13">
        <f>IF(N12&lt;=T40,0,S55*(1-N11+N10))</f>
        <v>25358.789161900146</v>
      </c>
      <c r="U55" s="13">
        <f>IF(N12&lt;=U40,0,T55*(1-N11+N10))</f>
        <v>24902.330956985941</v>
      </c>
      <c r="V55" s="13">
        <f>IF(N12&lt;=V40,0,U55*(1-N11+N10))</f>
        <v>24454.088999760195</v>
      </c>
      <c r="W55" s="13">
        <f>IF(N12&lt;=W40,0,V55*(1-N11+N10))</f>
        <v>24013.915397764511</v>
      </c>
      <c r="X55" s="13">
        <f>IF(N12&lt;=X40,0,W55*(1-N11+N10))</f>
        <v>23581.664920604748</v>
      </c>
      <c r="Y55" s="13">
        <f>IF(N12&lt;=Y40,0,X55*(1-N11+N10))</f>
        <v>23157.19495203386</v>
      </c>
      <c r="Z55" s="13">
        <f>IF(N12&lt;=Z40,0,Y55*(1-N11+N10))</f>
        <v>22740.365442897251</v>
      </c>
      <c r="AA55" s="13">
        <f>IF(N12&lt;=AA40,0,Z55*(1-N11+N10))</f>
        <v>22331.0388649251</v>
      </c>
      <c r="AB55" s="13">
        <f>IF(N12&lt;=AB40,0,AA55*(1-N11+N10))</f>
        <v>21929.080165356449</v>
      </c>
      <c r="AC55" s="13">
        <f>IF(N12&lt;=AC40,0,AB55*(1-N11+N10))</f>
        <v>21534.356722380031</v>
      </c>
      <c r="AD55" s="13">
        <f>IF(N12&lt;=AD40,0,AC55*(1-N11+N10))</f>
        <v>21146.738301377191</v>
      </c>
      <c r="AE55" s="13">
        <f>IF(N12&lt;=AE40,0,AD55*(1-N11+N10))</f>
        <v>20766.097011952399</v>
      </c>
      <c r="AF55" s="13">
        <f>IF(N12&lt;=AF40,0,AE55*(1-N11+N10))</f>
        <v>0</v>
      </c>
      <c r="AG55" s="13">
        <f>IF(N12&lt;=AG40,0,AF55*(1-N11+N10))</f>
        <v>0</v>
      </c>
      <c r="AH55" s="13">
        <f>IF(N12&lt;=AH40,0,AG55*(1-N11+N10))</f>
        <v>0</v>
      </c>
      <c r="AI55" s="13">
        <f>IF(N12&lt;=AI40,0,AH55*(1-N11+N10))</f>
        <v>0</v>
      </c>
      <c r="AJ55" s="13">
        <f>IF(N12&lt;=AJ40,0,AI55*(1-N11+N10))</f>
        <v>0</v>
      </c>
      <c r="AK55" s="13">
        <f>IF(N12&lt;=AK40,0,AJ55*(1-N11+N10))</f>
        <v>0</v>
      </c>
      <c r="AL55" s="13">
        <f>IF(N12&lt;=AL40,0,AK55*(1-N11+N10))</f>
        <v>0</v>
      </c>
      <c r="AM55" s="13">
        <f>IF(N12&lt;=AM40,0,AL55*(1-N11+N10))</f>
        <v>0</v>
      </c>
      <c r="AN55" s="13"/>
      <c r="AO55" s="13"/>
      <c r="AP55" s="13"/>
      <c r="AQ55" s="13"/>
      <c r="AR55" s="13"/>
    </row>
    <row r="56" spans="1:59" ht="15.75" customHeight="1" x14ac:dyDescent="0.2">
      <c r="A56" s="39">
        <v>13</v>
      </c>
      <c r="B56" s="40">
        <f>(A56*N7)</f>
        <v>0.41600000000000004</v>
      </c>
      <c r="C56" s="41">
        <f>(((LARGE(G19:P19,1))+(LARGE(G19:P19,2))+(LARGE(G19:P19,3)))/3)*(B56)</f>
        <v>34615.776000000005</v>
      </c>
      <c r="D56" s="21"/>
      <c r="E56" s="21"/>
      <c r="F56" s="21">
        <f t="array" ref="F56">IF(N12&lt;=F40,0,NPV((N11-N10),0,0,0,0,0,0,0,0,0,C56))</f>
        <v>28959.848919107644</v>
      </c>
      <c r="G56" s="13">
        <f>IF(N12&lt;=G40,0,F56*(1-N11+N10))</f>
        <v>28438.571638563706</v>
      </c>
      <c r="H56" s="13">
        <f>IF(N12&lt;=H40,0,G56*(1-N11+N10))</f>
        <v>27926.67734906956</v>
      </c>
      <c r="I56" s="13">
        <f>IF(N12&lt;=I40,0,H56*(1-N11+N10))</f>
        <v>27423.997156786307</v>
      </c>
      <c r="J56" s="13">
        <f>IF(N12&lt;=J40,0,I56*(1-N11+N10))</f>
        <v>26930.365207964154</v>
      </c>
      <c r="K56" s="13">
        <f>IF(N12&lt;=K40,0,J56*(1-N11+N10))</f>
        <v>26445.618634220798</v>
      </c>
      <c r="L56" s="13">
        <f>IF(N12&lt;=L40,0,K56*(1-N11+N10))</f>
        <v>25969.597498804822</v>
      </c>
      <c r="M56" s="13">
        <f>IF(N12&lt;=M40,0,L56*(1-N11+N10))</f>
        <v>25502.144743826335</v>
      </c>
      <c r="N56" s="13">
        <f>IF(N12&lt;=N40,0,M56*(1-N11+N10))</f>
        <v>25043.106138437459</v>
      </c>
      <c r="O56" s="13">
        <f>IF(N12&lt;=O40,0,N56*(1-N11+N10))</f>
        <v>24592.330227945586</v>
      </c>
      <c r="P56" s="13">
        <f>IF(N12&lt;=P40,0,O56*(1-N11+N10))</f>
        <v>24149.668283842566</v>
      </c>
      <c r="Q56" s="13">
        <f>IF(N12&lt;=Q40,0,P56*(1-N11+N10))</f>
        <v>23714.974254733399</v>
      </c>
      <c r="R56" s="13">
        <f>IF(N12&lt;=R40,0,Q56*(1-N11+N10))</f>
        <v>23288.104718148199</v>
      </c>
      <c r="S56" s="13">
        <f>IF(N12&lt;=S40,0,R56*(1-N11+N10))</f>
        <v>22868.918833221531</v>
      </c>
      <c r="T56" s="13">
        <f>IF(N12&lt;=T40,0,S56*(1-N11+N10))</f>
        <v>22457.278294223543</v>
      </c>
      <c r="U56" s="13">
        <f>IF(N12&lt;=U40,0,T56*(1-N11+N10))</f>
        <v>22053.047284927517</v>
      </c>
      <c r="V56" s="13">
        <f>IF(N12&lt;=V40,0,U56*(1-N11+N10))</f>
        <v>21656.092433798822</v>
      </c>
      <c r="W56" s="13">
        <f>IF(N12&lt;=W40,0,V56*(1-N11+N10))</f>
        <v>21266.282769990441</v>
      </c>
      <c r="X56" s="13">
        <f>IF(N12&lt;=X40,0,W56*(1-N11+N10))</f>
        <v>20883.489680130613</v>
      </c>
      <c r="Y56" s="13">
        <f>IF(N12&lt;=Y40,0,X56*(1-N11+N10))</f>
        <v>20507.586865888261</v>
      </c>
      <c r="Z56" s="13">
        <f>IF(N12&lt;=Z40,0,Y56*(1-N11+N10))</f>
        <v>20138.450302302273</v>
      </c>
      <c r="AA56" s="13">
        <f>IF(N12&lt;=AA40,0,Z56*(1-N11+N10))</f>
        <v>19775.958196860833</v>
      </c>
      <c r="AB56" s="13">
        <f>IF(N12&lt;=AB40,0,AA56*(1-N11+N10))</f>
        <v>19419.990949317336</v>
      </c>
      <c r="AC56" s="13">
        <f>IF(N12&lt;=AC40,0,AB56*(1-N11+N10))</f>
        <v>19070.431112229624</v>
      </c>
      <c r="AD56" s="13">
        <f>IF(N12&lt;=AD40,0,AC56*(1-N11+N10))</f>
        <v>18727.163352209489</v>
      </c>
      <c r="AE56" s="13">
        <f>IF(N12&lt;=AE40,0,AD56*(1-N11+N10))</f>
        <v>18390.074411869718</v>
      </c>
      <c r="AF56" s="13">
        <f>IF(N12&lt;=AF40,0,AE56*(1-N11+N10))</f>
        <v>0</v>
      </c>
      <c r="AG56" s="13">
        <f>IF(N12&lt;=AG40,0,AF56*(1-N11+N10))</f>
        <v>0</v>
      </c>
      <c r="AH56" s="13">
        <f>IF(N12&lt;=AH40,0,AG56*(1-N11+N10))</f>
        <v>0</v>
      </c>
      <c r="AI56" s="13">
        <f>IF(N12&lt;=AI40,0,AH56*(1-N11+N10))</f>
        <v>0</v>
      </c>
      <c r="AJ56" s="13">
        <f>IF(N12&lt;=AJ40,0,AI56*(1-N11+N10))</f>
        <v>0</v>
      </c>
      <c r="AK56" s="13">
        <f>IF(N12&lt;=AK40,0,AJ56*(1-N11+N10))</f>
        <v>0</v>
      </c>
      <c r="AL56" s="13">
        <f>IF(N12&lt;=AL40,0,AK56*(1-N11+N10))</f>
        <v>0</v>
      </c>
      <c r="AM56" s="13">
        <f>IF(N12&lt;=AM40,0,AL56*(1-N11+N10))</f>
        <v>0</v>
      </c>
      <c r="AN56" s="13"/>
      <c r="AO56" s="13"/>
      <c r="AP56" s="13"/>
      <c r="AQ56" s="13"/>
      <c r="AR56" s="13"/>
    </row>
    <row r="57" spans="1:59" ht="15.75" customHeight="1" x14ac:dyDescent="0.2">
      <c r="A57" s="39">
        <v>12</v>
      </c>
      <c r="B57" s="40">
        <f>(A57*N7)</f>
        <v>0.38400000000000001</v>
      </c>
      <c r="C57" s="41">
        <f>(((LARGE(F19:O19,1))+(LARGE(F19:O19,2))+(LARGE(F19:O19,3)))/3)*(B57)</f>
        <v>31256.064000000002</v>
      </c>
      <c r="D57" s="21"/>
      <c r="E57" s="21"/>
      <c r="F57" s="21">
        <f t="array" ref="F57">IF(N12&lt;=F40,0,NPV((N11-N10),0,0,0,0,0,0,0,0,0,0,C57))</f>
        <v>25686.724600850721</v>
      </c>
      <c r="G57" s="13">
        <f>IF(N12&lt;=G40,0,F57*(1-N11+N10))</f>
        <v>25224.363558035406</v>
      </c>
      <c r="H57" s="13">
        <f>IF(N12&lt;=H40,0,G57*(1-N11+N10))</f>
        <v>24770.325013990769</v>
      </c>
      <c r="I57" s="13">
        <f>IF(N12&lt;=I40,0,H57*(1-N11+N10))</f>
        <v>24324.459163738935</v>
      </c>
      <c r="J57" s="13">
        <f>IF(N12&lt;=J40,0,I57*(1-N11+N10))</f>
        <v>23886.618898791632</v>
      </c>
      <c r="K57" s="13">
        <f>IF(N12&lt;=K40,0,J57*(1-N11+N10))</f>
        <v>23456.659758613383</v>
      </c>
      <c r="L57" s="13">
        <f>IF(N12&lt;=L40,0,K57*(1-N11+N10))</f>
        <v>23034.439882958341</v>
      </c>
      <c r="M57" s="13">
        <f>IF(N12&lt;=M40,0,L57*(1-N11+N10))</f>
        <v>22619.819965065089</v>
      </c>
      <c r="N57" s="13">
        <f>IF(N12&lt;=N40,0,M57*(1-N11+N10))</f>
        <v>22212.663205693916</v>
      </c>
      <c r="O57" s="13">
        <f>IF(N12&lt;=O40,0,N57*(1-N11+N10))</f>
        <v>21812.835267991424</v>
      </c>
      <c r="P57" s="13">
        <f>IF(N12&lt;=P40,0,O57*(1-N11+N10))</f>
        <v>21420.204233167577</v>
      </c>
      <c r="Q57" s="13">
        <f>IF(N12&lt;=Q40,0,P57*(1-N11+N10))</f>
        <v>21034.64055697056</v>
      </c>
      <c r="R57" s="13">
        <f>IF(N12&lt;=R40,0,Q57*(1-N11+N10))</f>
        <v>20656.01702694509</v>
      </c>
      <c r="S57" s="13">
        <f>IF(N12&lt;=S40,0,R57*(1-N11+N10))</f>
        <v>20284.208720460079</v>
      </c>
      <c r="T57" s="13">
        <f>IF(N12&lt;=T40,0,S57*(1-N11+N10))</f>
        <v>19919.092963491799</v>
      </c>
      <c r="U57" s="13">
        <f>IF(N12&lt;=U40,0,T57*(1-N11+N10))</f>
        <v>19560.549290148945</v>
      </c>
      <c r="V57" s="13">
        <f>IF(N12&lt;=V40,0,U57*(1-N11+N10))</f>
        <v>19208.459402926263</v>
      </c>
      <c r="W57" s="13">
        <f>IF(N12&lt;=W40,0,V57*(1-N11+N10))</f>
        <v>18862.70713367359</v>
      </c>
      <c r="X57" s="13">
        <f>IF(N12&lt;=X40,0,W57*(1-N11+N10))</f>
        <v>18523.178405267467</v>
      </c>
      <c r="Y57" s="13">
        <f>IF(N12&lt;=Y40,0,X57*(1-N11+N10))</f>
        <v>18189.761193972652</v>
      </c>
      <c r="Z57" s="13">
        <f>IF(N12&lt;=Z40,0,Y57*(1-N11+N10))</f>
        <v>17862.345492481145</v>
      </c>
      <c r="AA57" s="13">
        <f>IF(N12&lt;=AA40,0,Z57*(1-N11+N10))</f>
        <v>17540.823273616483</v>
      </c>
      <c r="AB57" s="13">
        <f>IF(N12&lt;=AB40,0,AA57*(1-N11+N10))</f>
        <v>17225.088454691388</v>
      </c>
      <c r="AC57" s="13">
        <f>IF(N12&lt;=AC40,0,AB57*(1-N11+N10))</f>
        <v>16915.036862506942</v>
      </c>
      <c r="AD57" s="13">
        <f>IF(N12&lt;=AD40,0,AC57*(1-N11+N10))</f>
        <v>16610.566198981818</v>
      </c>
      <c r="AE57" s="13">
        <f>IF(N12&lt;=AE40,0,AD57*(1-N11+N10))</f>
        <v>16311.576007400145</v>
      </c>
      <c r="AF57" s="13">
        <f>IF(N12&lt;=AF40,0,AE57*(1-N11+N10))</f>
        <v>0</v>
      </c>
      <c r="AG57" s="13">
        <f>IF(N12&lt;=AG40,0,AF57*(1-N11+N10))</f>
        <v>0</v>
      </c>
      <c r="AH57" s="13">
        <f>IF(N12&lt;=AH40,0,IF(N12&lt;=AH40,0,AG57*(1-N11+N10)))</f>
        <v>0</v>
      </c>
      <c r="AI57" s="13">
        <f>IF(N12&lt;=AI40,0,AH57*(1-N11+N10))</f>
        <v>0</v>
      </c>
      <c r="AJ57" s="13">
        <f>IF(N12&lt;=AJ40,0,AI57*(1-N11+N10))</f>
        <v>0</v>
      </c>
      <c r="AK57" s="13">
        <f>IF(N12&lt;=AK40,0,AJ57*(1-N11+N10))</f>
        <v>0</v>
      </c>
      <c r="AL57" s="13">
        <f>IF(N12&lt;=AL40,0,AK57*(1-N11+N10))</f>
        <v>0</v>
      </c>
      <c r="AM57" s="13">
        <f>IF(N12&lt;=AM40,0,AL57*(1-N11+N10))</f>
        <v>0</v>
      </c>
      <c r="AN57" s="13"/>
      <c r="AO57" s="13"/>
      <c r="AP57" s="13"/>
      <c r="AQ57" s="13"/>
      <c r="AR57" s="13"/>
    </row>
    <row r="58" spans="1:59" ht="15.75" customHeight="1" x14ac:dyDescent="0.2">
      <c r="A58" s="39">
        <v>11</v>
      </c>
      <c r="B58" s="40">
        <f>(A58*N7)</f>
        <v>0.35199999999999998</v>
      </c>
      <c r="C58" s="41">
        <f>(((LARGE(E19:N19,1))+(LARGE(E19:N19,2))+(LARGE(E19:N19,3)))/3)*(B58)</f>
        <v>28012.511999999999</v>
      </c>
      <c r="D58" s="21"/>
      <c r="E58" s="21"/>
      <c r="F58" s="21">
        <f t="array" ref="F58">IF(N12&lt;=F40,0,NPV((N11-N10),0,0,0,0,0,0,0,0,0,0,0,C58))</f>
        <v>22614.069344899694</v>
      </c>
      <c r="G58" s="13">
        <f>IF(N12&lt;=G40,0,F58*(1-N11+N10))</f>
        <v>22207.016096691499</v>
      </c>
      <c r="H58" s="13">
        <f>IF(N12&lt;=H40,0,G58*(1-N11+N10))</f>
        <v>21807.289806951052</v>
      </c>
      <c r="I58" s="13">
        <f>IF(N12&lt;=I40,0,H58*(1-N11+N10))</f>
        <v>21414.758590425932</v>
      </c>
      <c r="J58" s="13">
        <f>IF(N12&lt;=J40,0,I58*(1-N11+N10))</f>
        <v>21029.292935798265</v>
      </c>
      <c r="K58" s="13">
        <f>IF(N12&lt;=K40,0,J58*(1-N11+N10))</f>
        <v>20650.765662953894</v>
      </c>
      <c r="L58" s="13">
        <f>IF(N12&lt;=L40,0,K58*(1-N11+N10))</f>
        <v>20279.051881020725</v>
      </c>
      <c r="M58" s="13">
        <f>IF(N12&lt;=M40,0,L58*(1-N11+N10))</f>
        <v>19914.028947162351</v>
      </c>
      <c r="N58" s="13">
        <f>IF(N12&lt;=N40,0,M58*(1-N11+N10))</f>
        <v>19555.576426113428</v>
      </c>
      <c r="O58" s="13">
        <f>IF(N12&lt;=O40,0,N58*(1-N11+N10))</f>
        <v>19203.576050443386</v>
      </c>
      <c r="P58" s="13">
        <f>IF(N12&lt;=P40,0,O58*(1-N11+N10))</f>
        <v>18857.911681535403</v>
      </c>
      <c r="Q58" s="13">
        <f>IF(N12&lt;=Q40,0,P58*(1-N11+N10))</f>
        <v>18518.469271267764</v>
      </c>
      <c r="R58" s="13">
        <f>IF(N12&lt;=R40,0,Q58*(1-N11+N10))</f>
        <v>18185.136824384943</v>
      </c>
      <c r="S58" s="13">
        <f>IF(N12&lt;=S40,0,R58*(1-N11+N10))</f>
        <v>17857.804361546012</v>
      </c>
      <c r="T58" s="13">
        <f>IF(N12&lt;=T40,0,S58*(1-N11+N10))</f>
        <v>17536.363883038182</v>
      </c>
      <c r="U58" s="13">
        <f>IF(N12&lt;=U40,0,T58*(1-N11+N10))</f>
        <v>17220.709333143495</v>
      </c>
      <c r="V58" s="13">
        <f>IF(N12&lt;=V40,0,U58*(1-N11+N10))</f>
        <v>16910.736565146912</v>
      </c>
      <c r="W58" s="13">
        <f>IF(N12&lt;=W40,0,V58*(1-N11+N10))</f>
        <v>16606.343306974268</v>
      </c>
      <c r="X58" s="13">
        <f>IF(N12&lt;=WC40,0,W58*(1-N11+N10))</f>
        <v>16307.429127448731</v>
      </c>
      <c r="Y58" s="13">
        <f>IF(N12&lt;=Y40,0,X58*(1-N11+N10))</f>
        <v>16013.895403154655</v>
      </c>
      <c r="Z58" s="13">
        <f>IF(N12&lt;=Z40,0,Y58*(1-N11+N10))</f>
        <v>15725.64528589787</v>
      </c>
      <c r="AA58" s="13">
        <f>IF(N12&lt;=AA40,0,Z58*(1-N11+N10))</f>
        <v>15442.583670751708</v>
      </c>
      <c r="AB58" s="13">
        <f>IF(N12&lt;=AB40,0,AA58*(1-N11+N10))</f>
        <v>15164.617164678177</v>
      </c>
      <c r="AC58" s="13">
        <f>IF(N12&lt;=AC40,0,AB58*(1-N11+N10))</f>
        <v>14891.654055713969</v>
      </c>
      <c r="AD58" s="13">
        <f>IF(N12&lt;=AD40,0,AC58*(1-N11+N10))</f>
        <v>14623.604282711118</v>
      </c>
      <c r="AE58" s="13">
        <f>IF(N12&lt;=AE40,0,AD58*(1-N11+N10))</f>
        <v>14360.379405622318</v>
      </c>
      <c r="AF58" s="13">
        <f>IF(N12&lt;=AF40,0,AE58*(1-N11+N10))</f>
        <v>0</v>
      </c>
      <c r="AG58" s="13">
        <f>IF(N12&lt;=AG40,0,AF58*(1-N11+N10))</f>
        <v>0</v>
      </c>
      <c r="AH58" s="13">
        <f>IF(N12&lt;=AH40,0,AG58*(1-N11+N10))</f>
        <v>0</v>
      </c>
      <c r="AI58" s="13">
        <f>IF(N12&lt;=AI40,0,AH58*(1-N11+N10))</f>
        <v>0</v>
      </c>
      <c r="AJ58" s="13">
        <f>IF(N12&lt;=AJ40,0,AI58*(1-N11+N10))</f>
        <v>0</v>
      </c>
      <c r="AK58" s="13">
        <f>IF(N12&lt;=AK40,0,AJ58*(1-N11+N10))</f>
        <v>0</v>
      </c>
      <c r="AL58" s="13">
        <f>IF(N12&lt;=AL40,0,AK58*(1-N11+N10))</f>
        <v>0</v>
      </c>
      <c r="AM58" s="13">
        <f>IF(N12&lt;=AM40,0,AL58*(1-N11+N10))</f>
        <v>0</v>
      </c>
      <c r="AN58" s="13"/>
      <c r="AO58" s="13"/>
      <c r="AP58" s="13"/>
      <c r="AQ58" s="13"/>
      <c r="AR58" s="13"/>
    </row>
    <row r="59" spans="1:59" ht="15.75" customHeight="1" x14ac:dyDescent="0.2">
      <c r="A59" s="39">
        <v>10</v>
      </c>
      <c r="B59" s="40">
        <f>(A59*N7)</f>
        <v>0.32</v>
      </c>
      <c r="C59" s="41">
        <f>(((LARGE(D19:M19,1))+(LARGE(D19:M19,2))+(LARGE(D19:M19,3)))/3)*(B59)</f>
        <v>24885.119999999999</v>
      </c>
      <c r="D59" s="21"/>
      <c r="E59" s="21"/>
      <c r="F59" s="21">
        <f t="array" ref="F59">IF(N12&lt;=F40,0,NPV((N11-N10),0,0,0,0,0,0,0,0,0,0,0,0,C59))</f>
        <v>19734.159103601927</v>
      </c>
      <c r="G59" s="13">
        <f>IF(N12&lt;=G40,0,F59*(1-N11+N10))</f>
        <v>19378.944239737091</v>
      </c>
      <c r="H59" s="13">
        <f>IF(N12&lt;=H40,0,G59*(1-N11+N10))</f>
        <v>19030.123243421822</v>
      </c>
      <c r="I59" s="13">
        <f>IF(N12&lt;=I40,0,H59*(1-N11+N10))</f>
        <v>18687.581025040228</v>
      </c>
      <c r="J59" s="13">
        <f>IF(N12&lt;=J40,0,I59*(1-N11+N10))</f>
        <v>18351.204566589502</v>
      </c>
      <c r="K59" s="13">
        <f>IF(N12&lt;=K40,0,J59*(1-N11+N10))</f>
        <v>18020.882884390892</v>
      </c>
      <c r="L59" s="13">
        <f>IF(N12&lt;=L40,0,K59*(1-N11+N10))</f>
        <v>17696.506992471855</v>
      </c>
      <c r="M59" s="13">
        <f>IF(N12&lt;=M40,0,L59*(1-N11+N10))</f>
        <v>17377.96986660736</v>
      </c>
      <c r="N59" s="13">
        <f>IF(N12&lt;=N40,0,M59*(1-N11+N10))</f>
        <v>17065.166409008427</v>
      </c>
      <c r="O59" s="13">
        <f>IF(N12&lt;=O40,0,N59*(1-N11+N10))</f>
        <v>16757.993413646276</v>
      </c>
      <c r="P59" s="13">
        <f>IF(N12&lt;=P40,0,O59*(1-N11+N10))</f>
        <v>16456.349532200642</v>
      </c>
      <c r="Q59" s="13">
        <f>IF(N12&lt;=Q40,0,P59*(1-N11+N10))</f>
        <v>16160.13524062103</v>
      </c>
      <c r="R59" s="13">
        <f>IF(N12&lt;=R40,0,Q59*(1-N11+N10))</f>
        <v>15869.252806289851</v>
      </c>
      <c r="S59" s="13">
        <f>IF(N12&lt;=S40,0,R59*(1-N11+N10))</f>
        <v>15583.606255776633</v>
      </c>
      <c r="T59" s="13">
        <f>IF(N12&lt;=T40,0,S59*(1-N11+N10))</f>
        <v>15303.101343172653</v>
      </c>
      <c r="U59" s="13">
        <f>IF(N12&lt;=U40,0,T59*(1-N11+N10))</f>
        <v>15027.645518995545</v>
      </c>
      <c r="V59" s="13">
        <f>IF(N12&lt;=V40,0,U59*(1-N11+N10))</f>
        <v>14757.147899653624</v>
      </c>
      <c r="W59" s="13">
        <f>IF(N12&lt;=W40,0,V59*(1-N11+N10))</f>
        <v>14491.519237459859</v>
      </c>
      <c r="X59" s="13">
        <f>IF(N12&lt;=X40,0,W59*(1-N11+N10))</f>
        <v>14230.671891185582</v>
      </c>
      <c r="Y59" s="13">
        <f>IF(N12&lt;=Y40,0,X59*(1-N11+N10))</f>
        <v>13974.519797144241</v>
      </c>
      <c r="Z59" s="13">
        <f>IF(N12&lt;=Z40,0,Y59*(1-N11+N10))</f>
        <v>13722.978440795645</v>
      </c>
      <c r="AA59" s="13">
        <f>IF(N12&lt;=AA40,0,Z59*(1-N11+N10))</f>
        <v>13475.964828861323</v>
      </c>
      <c r="AB59" s="13">
        <f>IF(N12&lt;=AB40,0,AA59*(1-N11+N10))</f>
        <v>13233.397461941819</v>
      </c>
      <c r="AC59" s="13">
        <f>IF(N12&lt;=AC40,0,AB59*(1-N11+N10))</f>
        <v>12995.196307626866</v>
      </c>
      <c r="AD59" s="13">
        <f>IF(N12&lt;=AD40,0,AC59*(1-N11+N10))</f>
        <v>12761.282774089583</v>
      </c>
      <c r="AE59" s="13">
        <f>IF(N12&lt;=AE40,0,AD59*(1-N11+N10))</f>
        <v>12531.57968415597</v>
      </c>
      <c r="AF59" s="13">
        <f>IF(N12&lt;=AF40,0,AE59*(1-N11+N10))</f>
        <v>0</v>
      </c>
      <c r="AG59" s="13">
        <f>IF(N12&lt;=AG40,0,AF59*(1-N11+N10))</f>
        <v>0</v>
      </c>
      <c r="AH59" s="13">
        <f>IF(N12&lt;=AH40,0,AG59*(1-N11+N10))</f>
        <v>0</v>
      </c>
      <c r="AI59" s="13">
        <f>IF(N12&lt;=AI40,0,AH59*(1-N11+N10))</f>
        <v>0</v>
      </c>
      <c r="AJ59" s="13">
        <f>IF(N12&lt;=AJ40,0,AI59*(1-N11+N10))</f>
        <v>0</v>
      </c>
      <c r="AK59" s="13">
        <f>IF(N12&lt;=AK40,0,AJ59*(1-N11+N10))</f>
        <v>0</v>
      </c>
      <c r="AL59" s="13">
        <f>IF(N12&lt;=AL40,0,AK59*(1-N11+N10))</f>
        <v>0</v>
      </c>
      <c r="AM59" s="13">
        <f>IF(N12&lt;=AM40,0,AL59*(1-N11+N10))</f>
        <v>0</v>
      </c>
      <c r="AN59" s="13"/>
      <c r="AO59" s="13"/>
      <c r="AP59" s="13"/>
      <c r="AQ59" s="13"/>
      <c r="AR59" s="13"/>
    </row>
    <row r="60" spans="1:59" ht="15.75" customHeight="1" x14ac:dyDescent="0.2">
      <c r="A60" s="65"/>
      <c r="B60" s="63"/>
      <c r="C60" s="63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10"/>
      <c r="BE60" s="10"/>
      <c r="BF60" s="10"/>
      <c r="BG60" s="10"/>
    </row>
    <row r="61" spans="1:59" ht="15.75" customHeight="1" x14ac:dyDescent="0.2">
      <c r="A61" s="79" t="s">
        <v>70</v>
      </c>
      <c r="B61" s="63"/>
      <c r="C61" s="63"/>
      <c r="D61" s="22"/>
      <c r="E61" s="22"/>
      <c r="F61" s="22"/>
      <c r="G61" s="22">
        <f>IF(N12&lt;=G40,0,N5)</f>
        <v>76429.183999999994</v>
      </c>
      <c r="H61" s="22">
        <f>IF(N12&lt;=H40,0,N5)</f>
        <v>76429.183999999994</v>
      </c>
      <c r="I61" s="22">
        <f>IF(N12&lt;=I40,0,N5)</f>
        <v>76429.183999999994</v>
      </c>
      <c r="J61" s="22">
        <f>IF(N12&lt;=J40,0,N5)</f>
        <v>76429.183999999994</v>
      </c>
      <c r="K61" s="22">
        <f>IF(N12&lt;=K40,0,N5)</f>
        <v>76429.183999999994</v>
      </c>
      <c r="L61" s="22">
        <f>IF(N12&lt;=L40,0,N5)</f>
        <v>76429.183999999994</v>
      </c>
      <c r="M61" s="22">
        <f>IF(N12&lt;=M40,0,N5)</f>
        <v>76429.183999999994</v>
      </c>
      <c r="N61" s="22">
        <f>IF(N12&lt;=N40,0,N5)</f>
        <v>76429.183999999994</v>
      </c>
      <c r="O61" s="22">
        <f>IF(N12&lt;=O40,0,N5)</f>
        <v>76429.183999999994</v>
      </c>
      <c r="P61" s="22">
        <f>IF(N12&lt;=P40,0,N5)</f>
        <v>76429.183999999994</v>
      </c>
      <c r="Q61" s="22">
        <f>IF(N12&lt;=Q40,0,N5)</f>
        <v>76429.183999999994</v>
      </c>
      <c r="R61" s="22">
        <f>IF(N12&lt;=R40,0,N5)</f>
        <v>76429.183999999994</v>
      </c>
      <c r="S61" s="22">
        <f>IF(N12&lt;=S40,0,N5)</f>
        <v>76429.183999999994</v>
      </c>
      <c r="T61" s="22">
        <f>IF(N12&lt;=T40,0,N5)</f>
        <v>76429.183999999994</v>
      </c>
      <c r="U61" s="22">
        <f>IF(N12&lt;=U40,0,N5)</f>
        <v>76429.183999999994</v>
      </c>
      <c r="V61" s="22">
        <f>IF(N12&lt;=V40,0,N5)</f>
        <v>76429.183999999994</v>
      </c>
      <c r="W61" s="22">
        <f>IF(N12&lt;=W40,0,N5)</f>
        <v>76429.183999999994</v>
      </c>
      <c r="X61" s="22">
        <f>IF(N12&lt;=X40,0,N5)</f>
        <v>76429.183999999994</v>
      </c>
      <c r="Y61" s="22">
        <f>IF(N12&lt;=Y40,0,N5)</f>
        <v>76429.183999999994</v>
      </c>
      <c r="Z61" s="22">
        <f>IF(N12&lt;=Z40,0,N5)</f>
        <v>76429.183999999994</v>
      </c>
      <c r="AA61" s="22">
        <f>IF(N12&lt;=AA40,0,N5)</f>
        <v>76429.183999999994</v>
      </c>
      <c r="AB61" s="22">
        <f>IF(N12&lt;=AB40,0,N5)</f>
        <v>76429.183999999994</v>
      </c>
      <c r="AC61" s="22">
        <f>IF(N12&lt;=AC40,0,N5)</f>
        <v>76429.183999999994</v>
      </c>
      <c r="AD61" s="22">
        <f>IF(N12&lt;=AD40,0,N5)</f>
        <v>76429.183999999994</v>
      </c>
      <c r="AE61" s="22">
        <f>IF(N12&lt;=AE40,0,N5)</f>
        <v>76429.183999999994</v>
      </c>
      <c r="AF61" s="22">
        <f>IF(N12&lt;=AF40,0,N5)</f>
        <v>0</v>
      </c>
      <c r="AG61" s="22">
        <f>IF(N12&lt;=AG40,0,N5)</f>
        <v>0</v>
      </c>
      <c r="AH61" s="22">
        <f>IF(N12&lt;=AH40,0,N5)</f>
        <v>0</v>
      </c>
      <c r="AI61" s="22">
        <f>IF(N12&lt;=AI40,0,N5)</f>
        <v>0</v>
      </c>
      <c r="AJ61" s="22">
        <f>IF(N12&lt;=AJ40,0,N5)</f>
        <v>0</v>
      </c>
      <c r="AK61" s="22">
        <f>IF(N12&lt;=AK40,0,N5)</f>
        <v>0</v>
      </c>
      <c r="AL61" s="22">
        <f>IF(N12&lt;=AL40,0,N5)</f>
        <v>0</v>
      </c>
      <c r="AM61" s="22">
        <f>IF(N12&lt;=AM40,0,N5)</f>
        <v>0</v>
      </c>
      <c r="AN61" s="2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22"/>
      <c r="BE61" s="22"/>
      <c r="BF61" s="22"/>
      <c r="BG61" s="22"/>
    </row>
    <row r="62" spans="1:59" ht="15.75" customHeight="1" x14ac:dyDescent="0.2">
      <c r="A62" s="80" t="s">
        <v>71</v>
      </c>
      <c r="B62" s="63"/>
      <c r="C62" s="63"/>
      <c r="D62" s="22"/>
      <c r="E62" s="22"/>
      <c r="F62" s="22"/>
      <c r="G62" s="22">
        <f>IF(N12&lt;=G40,0,MAX(0,(-FV((N8-N11),1,-G61,AA37))))</f>
        <v>1636161.4323249715</v>
      </c>
      <c r="H62" s="22">
        <f>IF(N12&lt;=H40,0,MAX(0,(-FV((N8-N11),1,-H61,G62))))</f>
        <v>1648903.0463866827</v>
      </c>
      <c r="I62" s="22">
        <f>IF(N12&lt;=I40,0,MAX(0,(-FV((N8-N11),1,-I61,H62))))</f>
        <v>1662339.078414757</v>
      </c>
      <c r="J62" s="22">
        <f>IF(N12&lt;=J40,0,MAX(0,(-FV((N8-N11),1,-J61,I62))))</f>
        <v>1676507.3741883615</v>
      </c>
      <c r="K62" s="22">
        <f>IF(N12&lt;=K40,0,MAX(0,(-FV((N8-N11),1,-K61,J62))))</f>
        <v>1691447.8420816273</v>
      </c>
      <c r="L62" s="22">
        <f>IF(N12&lt;=L40,0,MAX(0,(-FV((N8-N11),1,-L61,K62))))</f>
        <v>1707202.5654750762</v>
      </c>
      <c r="M62" s="22">
        <f>IF(N12&lt;=M40,0,MAX(0,(-FV((N8-N11),1,-M61,L62))))</f>
        <v>1723815.921293468</v>
      </c>
      <c r="N62" s="22">
        <f>IF(N12&lt;=N40,0,MAX(0,(-FV((N8-N11),1,-N61,M62))))</f>
        <v>1741334.7050039622</v>
      </c>
      <c r="O62" s="22">
        <f>IF(N12&lt;=O40,0,MAX(0,(-FV((N8-N11),1,-O61,N62))))</f>
        <v>1759808.2624266781</v>
      </c>
      <c r="P62" s="22">
        <f>IF(N12&lt;=P40,0,MAX(0,(-FV((N8-N11),1,-P61,O62))))</f>
        <v>1779288.6287289322</v>
      </c>
      <c r="Q62" s="22">
        <f>IF(N12&lt;=Q40,0,MAX(0,(-FV((N8-N11),1,-Q61,P62))))</f>
        <v>1799830.6749946591</v>
      </c>
      <c r="R62" s="22">
        <f>IF(N12&lt;=R40,0,MAX(0,(-FV((N8-N11),1,-R61,Q62))))</f>
        <v>1821492.2627818682</v>
      </c>
      <c r="S62" s="22">
        <f>IF(N12&lt;=S40,0,MAX(0,(-FV((N8-N11),1,-S61,R62))))</f>
        <v>1844334.4071034801</v>
      </c>
      <c r="T62" s="22">
        <f>IF(N12&lt;=T40,0,MAX(0,(-FV((N8-N11),1,-T61,S62))))</f>
        <v>1868421.4482906198</v>
      </c>
      <c r="U62" s="22">
        <f>IF(N12&lt;=U40,0,MAX(0,(-FV((N8-N11),1,-U61,T62))))</f>
        <v>1893821.2332224587</v>
      </c>
      <c r="V62" s="22">
        <f>IF(N12&lt;=V40,0,MAX(0,(-FV((N8-N11),1,-V61,U62))))</f>
        <v>1920605.3064330828</v>
      </c>
      <c r="W62" s="22">
        <f>IF(N12&lt;=W40,0,MAX(0,(-FV((N8-N11),1,-W61,V62))))</f>
        <v>1948849.1116336859</v>
      </c>
      <c r="X62" s="22">
        <f>IF(N12&lt;=X40,0,MAX(0,(-FV((N8-N11),1,-X61,W62))))</f>
        <v>1978632.2042177219</v>
      </c>
      <c r="Y62" s="22">
        <f>IF(N12&lt;=Y40,0,MAX(0,(-FV((N8-N11),1,-Y61,X62))))</f>
        <v>2010038.4753475878</v>
      </c>
      <c r="Z62" s="22">
        <f>IF(N12&lt;=Z40,0,MAX(0,(-FV((N8-N11),1,-Z61,Y62))))</f>
        <v>2043156.3882540315</v>
      </c>
      <c r="AA62" s="22">
        <f>IF(N12&lt;=AA40,0,MAX(0,(-FV((N8-N11),1,-AA61,Z62))))</f>
        <v>2078079.2274138764</v>
      </c>
      <c r="AB62" s="22">
        <f>IF(N12&lt;=AB40,0,MAX(0,(-FV((N8-N11),1,-AB61,AA62))))</f>
        <v>2114905.361307933</v>
      </c>
      <c r="AC62" s="22">
        <f>IF(N12&lt;=AC40,0,MAX(0,(-FV((N8-N11),1,-AC61,AB62))))</f>
        <v>2153738.5194992153</v>
      </c>
      <c r="AD62" s="22">
        <f>IF(N12&lt;=AD40,0,MAX(0,(-FV((N8-N11),1,-AD61,AC62))))</f>
        <v>2194688.0848119226</v>
      </c>
      <c r="AE62" s="22">
        <f>IF(N12&lt;=AE40,0,MAX(0,(-FV((N8-N11),1,-AE61,AD62))))</f>
        <v>2237869.4014341724</v>
      </c>
      <c r="AF62" s="22">
        <f>IF(N12&lt;=AF40,0,MAX(0,(-FV((N8-N11),1,-AF61,AE62))))</f>
        <v>0</v>
      </c>
      <c r="AG62" s="22">
        <f>IF(N12&lt;=AG40,0,MAX(0,(-FV((N8-N11),1,-AG61,AF62))))</f>
        <v>0</v>
      </c>
      <c r="AH62" s="22">
        <f>IF(N12&lt;=AH40,0,MAX(0,(-FV((N8-N11),1,-AH61,AG62))))</f>
        <v>0</v>
      </c>
      <c r="AI62" s="22">
        <f>IF(N12&lt;=AI40,0,MAX(0,(-FV((N8-N11),1,-AI61,AH62))))</f>
        <v>0</v>
      </c>
      <c r="AJ62" s="22">
        <f>IF(N12&lt;=AJ40,0,MAX(0,(-FV((N8-N11),1,-AJ61,AI62))))</f>
        <v>0</v>
      </c>
      <c r="AK62" s="22">
        <f>IF(N12&lt;=AK40,0,MAX(0,(-FV((N8-N11),1,-AK61,AJ62))))</f>
        <v>0</v>
      </c>
      <c r="AL62" s="22">
        <f>IF(N12&lt;=AL40,0,MAX(0,(-FV((N8-N11),1,-AL61,AK62))))</f>
        <v>0</v>
      </c>
      <c r="AM62" s="22">
        <f>IF(N12&lt;=AM40,0,MAX(0,(-FV((N8-N11),1,-AM61,AL62))))</f>
        <v>0</v>
      </c>
      <c r="AN62" s="2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22"/>
      <c r="AZ62" s="22"/>
      <c r="BA62" s="22"/>
      <c r="BB62" s="22"/>
      <c r="BC62" s="22"/>
      <c r="BD62" s="22"/>
      <c r="BE62" s="22"/>
      <c r="BF62" s="22"/>
      <c r="BG62" s="22"/>
    </row>
    <row r="63" spans="1:59" ht="15.75" customHeight="1" x14ac:dyDescent="0.2">
      <c r="E63" s="14"/>
      <c r="F63" s="14"/>
      <c r="G63" s="14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59" ht="15.75" customHeight="1" x14ac:dyDescent="0.2"/>
    <row r="65" spans="6:31" ht="15.75" customHeight="1" x14ac:dyDescent="0.2"/>
    <row r="66" spans="6:31" ht="15.75" customHeight="1" x14ac:dyDescent="0.2">
      <c r="K66" s="43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6:31" ht="15.75" customHeight="1" x14ac:dyDescent="0.2">
      <c r="F67" s="44"/>
      <c r="G67" s="43"/>
      <c r="H67" s="44"/>
      <c r="I67" s="44"/>
      <c r="K67" s="43"/>
      <c r="M67" s="43"/>
      <c r="O67" s="43"/>
      <c r="Q67" s="43"/>
      <c r="S67" s="43"/>
      <c r="U67" s="43"/>
      <c r="V67" s="43"/>
      <c r="W67" s="43"/>
      <c r="X67" s="43"/>
      <c r="Y67" s="45"/>
    </row>
    <row r="68" spans="6:31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31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31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31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31" ht="15.75" customHeight="1" x14ac:dyDescent="0.2">
      <c r="F72" s="44"/>
      <c r="G72" s="21"/>
      <c r="H72" s="44"/>
      <c r="I72" s="44"/>
      <c r="J72" s="44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5"/>
    </row>
    <row r="73" spans="6:31" ht="15.75" customHeight="1" x14ac:dyDescent="0.2">
      <c r="F73" s="44"/>
      <c r="G73" s="21"/>
      <c r="H73" s="44"/>
      <c r="I73" s="44"/>
      <c r="J73" s="44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5"/>
    </row>
    <row r="74" spans="6:31" ht="15.75" customHeight="1" x14ac:dyDescent="0.2">
      <c r="F74" s="44"/>
      <c r="G74" s="21"/>
      <c r="H74" s="44"/>
      <c r="I74" s="44"/>
      <c r="J74" s="44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5"/>
    </row>
    <row r="75" spans="6:31" ht="15.75" customHeight="1" x14ac:dyDescent="0.2">
      <c r="F75" s="44"/>
      <c r="G75" s="21"/>
      <c r="H75" s="44"/>
      <c r="I75" s="44"/>
      <c r="J75" s="44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5"/>
    </row>
    <row r="76" spans="6:31" ht="15.75" customHeight="1" x14ac:dyDescent="0.2">
      <c r="F76" s="44"/>
      <c r="G76" s="21"/>
      <c r="H76" s="44"/>
      <c r="I76" s="44"/>
      <c r="J76" s="44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5"/>
    </row>
    <row r="77" spans="6:31" ht="15.75" customHeight="1" x14ac:dyDescent="0.2">
      <c r="F77" s="44"/>
      <c r="G77" s="46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6:31" ht="15.75" customHeight="1" x14ac:dyDescent="0.2">
      <c r="F78" s="44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</row>
    <row r="79" spans="6:31" ht="15.75" customHeight="1" x14ac:dyDescent="0.2">
      <c r="F79" s="44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</row>
    <row r="80" spans="6:31" ht="15.75" customHeight="1" x14ac:dyDescent="0.2">
      <c r="F80" s="44"/>
    </row>
    <row r="81" spans="7:29" ht="15.75" customHeight="1" x14ac:dyDescent="0.2"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7:29" ht="15.75" customHeight="1" x14ac:dyDescent="0.2"/>
    <row r="83" spans="7:29" ht="15.75" customHeight="1" x14ac:dyDescent="0.2"/>
    <row r="84" spans="7:29" ht="15.75" customHeight="1" x14ac:dyDescent="0.2"/>
    <row r="85" spans="7:29" ht="15.75" customHeight="1" x14ac:dyDescent="0.2"/>
    <row r="86" spans="7:29" ht="15.75" customHeight="1" x14ac:dyDescent="0.2"/>
    <row r="87" spans="7:29" ht="15.75" customHeight="1" x14ac:dyDescent="0.2"/>
    <row r="88" spans="7:29" ht="15.75" customHeight="1" x14ac:dyDescent="0.2"/>
    <row r="89" spans="7:29" ht="15.75" customHeight="1" x14ac:dyDescent="0.2"/>
    <row r="90" spans="7:29" ht="15.75" customHeight="1" x14ac:dyDescent="0.2"/>
    <row r="91" spans="7:29" ht="15.75" customHeight="1" x14ac:dyDescent="0.2"/>
    <row r="92" spans="7:29" ht="15.75" customHeight="1" x14ac:dyDescent="0.2"/>
    <row r="93" spans="7:29" ht="15.75" customHeight="1" x14ac:dyDescent="0.2"/>
    <row r="94" spans="7:29" ht="15.75" customHeight="1" x14ac:dyDescent="0.2"/>
    <row r="95" spans="7:29" ht="15.75" customHeight="1" x14ac:dyDescent="0.2"/>
    <row r="96" spans="7:29" ht="15.75" customHeight="1" x14ac:dyDescent="0.2">
      <c r="G96" s="14"/>
      <c r="H96" s="14"/>
      <c r="I96" s="14"/>
      <c r="J96" s="14"/>
      <c r="K96" s="14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A11:I11"/>
    <mergeCell ref="J10:M10"/>
    <mergeCell ref="J11:M11"/>
    <mergeCell ref="A24:C24"/>
    <mergeCell ref="A23:C23"/>
    <mergeCell ref="A22:C22"/>
    <mergeCell ref="A21:C21"/>
    <mergeCell ref="J14:M14"/>
    <mergeCell ref="A18:C18"/>
    <mergeCell ref="A17:C17"/>
    <mergeCell ref="J4:M4"/>
    <mergeCell ref="J3:M3"/>
    <mergeCell ref="J5:M5"/>
    <mergeCell ref="A5:I5"/>
    <mergeCell ref="P12:AA12"/>
    <mergeCell ref="P11:AA11"/>
    <mergeCell ref="P9:AA9"/>
    <mergeCell ref="J8:M8"/>
    <mergeCell ref="J9:M9"/>
    <mergeCell ref="A8:I8"/>
    <mergeCell ref="P10:AA10"/>
    <mergeCell ref="J6:M6"/>
    <mergeCell ref="J7:M7"/>
    <mergeCell ref="O2:O14"/>
    <mergeCell ref="A6:I6"/>
    <mergeCell ref="A7:I7"/>
    <mergeCell ref="AA30:AB30"/>
    <mergeCell ref="AA28:AB29"/>
    <mergeCell ref="A32:C32"/>
    <mergeCell ref="A31:C31"/>
    <mergeCell ref="A30:C30"/>
    <mergeCell ref="A29:C29"/>
    <mergeCell ref="AA35:AB36"/>
    <mergeCell ref="H39:AJ39"/>
    <mergeCell ref="AA37:AB37"/>
    <mergeCell ref="A36:C36"/>
    <mergeCell ref="A37:C37"/>
    <mergeCell ref="P8:AA8"/>
    <mergeCell ref="P7:AA7"/>
    <mergeCell ref="AA19:AB19"/>
    <mergeCell ref="AA18:AB18"/>
    <mergeCell ref="AA17:AB17"/>
    <mergeCell ref="H16:AB16"/>
    <mergeCell ref="A15:AB15"/>
    <mergeCell ref="A12:I12"/>
    <mergeCell ref="J12:M12"/>
    <mergeCell ref="A14:I14"/>
    <mergeCell ref="E16:G16"/>
    <mergeCell ref="A16:D16"/>
    <mergeCell ref="J13:M13"/>
    <mergeCell ref="A13:I13"/>
    <mergeCell ref="A9:I9"/>
    <mergeCell ref="A10:I10"/>
    <mergeCell ref="A1:AA1"/>
    <mergeCell ref="E39:G39"/>
    <mergeCell ref="F49:R49"/>
    <mergeCell ref="A43:C43"/>
    <mergeCell ref="A40:C40"/>
    <mergeCell ref="A41:C41"/>
    <mergeCell ref="A42:C42"/>
    <mergeCell ref="P6:AA6"/>
    <mergeCell ref="J2:N2"/>
    <mergeCell ref="A2:I2"/>
    <mergeCell ref="A4:I4"/>
    <mergeCell ref="A3:I3"/>
    <mergeCell ref="P3:AA3"/>
    <mergeCell ref="P4:AA4"/>
    <mergeCell ref="P5:AA5"/>
    <mergeCell ref="P2:AA2"/>
    <mergeCell ref="A61:C61"/>
    <mergeCell ref="A60:C60"/>
    <mergeCell ref="A62:C62"/>
    <mergeCell ref="A20:C20"/>
    <mergeCell ref="A19:C19"/>
    <mergeCell ref="A33:C33"/>
    <mergeCell ref="A34:C34"/>
    <mergeCell ref="A26:C26"/>
    <mergeCell ref="A28:C28"/>
    <mergeCell ref="A27:C27"/>
    <mergeCell ref="A35:C35"/>
    <mergeCell ref="A39:D39"/>
    <mergeCell ref="A25:C25"/>
  </mergeCells>
  <conditionalFormatting sqref="G61:AM62">
    <cfRule type="cellIs" dxfId="45" priority="1" operator="equal">
      <formula>0</formula>
    </cfRule>
  </conditionalFormatting>
  <conditionalFormatting sqref="G62:AM62">
    <cfRule type="cellIs" dxfId="44" priority="2" operator="between">
      <formula>500000</formula>
      <formula>1</formula>
    </cfRule>
  </conditionalFormatting>
  <conditionalFormatting sqref="D34:M34">
    <cfRule type="cellIs" dxfId="43" priority="3" operator="lessThan">
      <formula>0</formula>
    </cfRule>
  </conditionalFormatting>
  <conditionalFormatting sqref="N35:W35">
    <cfRule type="cellIs" dxfId="42" priority="4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E1000"/>
  <sheetViews>
    <sheetView workbookViewId="0">
      <selection activeCell="A3" sqref="A3:I3"/>
    </sheetView>
  </sheetViews>
  <sheetFormatPr defaultColWidth="14.42578125" defaultRowHeight="15" customHeight="1" x14ac:dyDescent="0.2"/>
  <cols>
    <col min="1" max="1" width="17.7109375" customWidth="1"/>
    <col min="2" max="2" width="15.5703125" customWidth="1"/>
    <col min="3" max="3" width="18.85546875" customWidth="1"/>
    <col min="4" max="4" width="10.7109375" customWidth="1"/>
    <col min="5" max="5" width="10.28515625" customWidth="1"/>
    <col min="6" max="6" width="10.140625" customWidth="1"/>
    <col min="7" max="7" width="10.28515625" customWidth="1"/>
    <col min="8" max="9" width="10" customWidth="1"/>
    <col min="10" max="10" width="9.85546875" customWidth="1"/>
    <col min="11" max="11" width="10.140625" customWidth="1"/>
    <col min="12" max="14" width="9.85546875" customWidth="1"/>
    <col min="15" max="15" width="10" customWidth="1"/>
    <col min="16" max="16" width="10.28515625" customWidth="1"/>
    <col min="17" max="17" width="10" customWidth="1"/>
    <col min="18" max="18" width="10.28515625" customWidth="1"/>
    <col min="19" max="19" width="10.7109375" customWidth="1"/>
    <col min="20" max="20" width="9.85546875" customWidth="1"/>
    <col min="21" max="21" width="10.42578125" customWidth="1"/>
    <col min="22" max="22" width="10.5703125" customWidth="1"/>
    <col min="23" max="24" width="10.85546875" customWidth="1"/>
    <col min="25" max="25" width="10.42578125" customWidth="1"/>
    <col min="26" max="26" width="10.28515625" customWidth="1"/>
    <col min="27" max="27" width="10.140625" customWidth="1"/>
    <col min="28" max="28" width="10" customWidth="1"/>
    <col min="29" max="29" width="10.140625" customWidth="1"/>
    <col min="30" max="30" width="10.7109375" customWidth="1"/>
    <col min="31" max="31" width="11" customWidth="1"/>
    <col min="32" max="32" width="10.140625" customWidth="1"/>
    <col min="33" max="33" width="10.42578125" customWidth="1"/>
    <col min="34" max="34" width="10.5703125" customWidth="1"/>
    <col min="35" max="35" width="10.42578125" customWidth="1"/>
    <col min="36" max="36" width="10.85546875" customWidth="1"/>
    <col min="37" max="37" width="10.42578125" customWidth="1"/>
    <col min="38" max="38" width="11.140625" customWidth="1"/>
    <col min="39" max="40" width="11.28515625" customWidth="1"/>
    <col min="41" max="41" width="11.42578125" customWidth="1"/>
    <col min="42" max="42" width="11.7109375" customWidth="1"/>
    <col min="43" max="43" width="11.140625" customWidth="1"/>
    <col min="44" max="44" width="11.85546875" customWidth="1"/>
    <col min="45" max="45" width="11.5703125" customWidth="1"/>
    <col min="46" max="46" width="11.85546875" customWidth="1"/>
    <col min="47" max="47" width="11.28515625" customWidth="1"/>
    <col min="48" max="48" width="11.7109375" customWidth="1"/>
    <col min="49" max="49" width="11.28515625" customWidth="1"/>
    <col min="50" max="50" width="11.140625" customWidth="1"/>
    <col min="51" max="51" width="11.7109375" customWidth="1"/>
    <col min="52" max="52" width="11.28515625" customWidth="1"/>
    <col min="53" max="53" width="11.7109375" customWidth="1"/>
    <col min="54" max="54" width="11.140625" customWidth="1"/>
    <col min="55" max="55" width="11.85546875" customWidth="1"/>
    <col min="56" max="57" width="8.5703125" customWidth="1"/>
  </cols>
  <sheetData>
    <row r="1" spans="1:47" ht="38.25" customHeight="1" x14ac:dyDescent="0.35">
      <c r="A1" s="8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1" customHeigh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2" t="s">
        <v>2</v>
      </c>
      <c r="K2" s="63"/>
      <c r="L2" s="63"/>
      <c r="M2" s="63"/>
      <c r="N2" s="63"/>
      <c r="O2" s="67"/>
      <c r="P2" s="62" t="s">
        <v>3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5.75" customHeight="1" x14ac:dyDescent="0.25">
      <c r="A3" s="72" t="s">
        <v>4</v>
      </c>
      <c r="B3" s="63"/>
      <c r="C3" s="63"/>
      <c r="D3" s="63"/>
      <c r="E3" s="63"/>
      <c r="F3" s="63"/>
      <c r="G3" s="63"/>
      <c r="H3" s="63"/>
      <c r="I3" s="63"/>
      <c r="J3" s="91" t="s">
        <v>88</v>
      </c>
      <c r="K3" s="70"/>
      <c r="L3" s="70"/>
      <c r="M3" s="71"/>
      <c r="N3" s="5">
        <v>45</v>
      </c>
      <c r="O3" s="63"/>
      <c r="P3" s="72" t="s">
        <v>5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15.75" customHeight="1" x14ac:dyDescent="0.25">
      <c r="A4" s="72" t="s">
        <v>80</v>
      </c>
      <c r="B4" s="63"/>
      <c r="C4" s="63"/>
      <c r="D4" s="63"/>
      <c r="E4" s="63"/>
      <c r="F4" s="63"/>
      <c r="G4" s="63"/>
      <c r="H4" s="63"/>
      <c r="I4" s="63"/>
      <c r="J4" s="69" t="s">
        <v>8</v>
      </c>
      <c r="K4" s="70"/>
      <c r="L4" s="70"/>
      <c r="M4" s="71"/>
      <c r="N4" s="6">
        <f>((LARGE(Q19:Z19,1))+(LARGE(Q19:Z19,2))+(LARGE(Q19:Z19,3)))/3</f>
        <v>103844</v>
      </c>
      <c r="O4" s="63"/>
      <c r="P4" s="72" t="s">
        <v>10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15.75" customHeight="1" x14ac:dyDescent="0.25">
      <c r="A5" s="72" t="s">
        <v>11</v>
      </c>
      <c r="B5" s="63"/>
      <c r="C5" s="63"/>
      <c r="D5" s="63"/>
      <c r="E5" s="63"/>
      <c r="F5" s="63"/>
      <c r="G5" s="63"/>
      <c r="H5" s="63"/>
      <c r="I5" s="63"/>
      <c r="J5" s="69" t="s">
        <v>12</v>
      </c>
      <c r="K5" s="70"/>
      <c r="L5" s="70"/>
      <c r="M5" s="71"/>
      <c r="N5" s="6">
        <f>AA19</f>
        <v>76429.183999999994</v>
      </c>
      <c r="O5" s="63"/>
      <c r="P5" s="66" t="s">
        <v>13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15.75" customHeight="1" x14ac:dyDescent="0.25">
      <c r="A6" s="72" t="s">
        <v>86</v>
      </c>
      <c r="B6" s="63"/>
      <c r="C6" s="63"/>
      <c r="D6" s="63"/>
      <c r="E6" s="63"/>
      <c r="F6" s="63"/>
      <c r="G6" s="63"/>
      <c r="H6" s="63"/>
      <c r="I6" s="63"/>
      <c r="J6" s="69" t="s">
        <v>14</v>
      </c>
      <c r="K6" s="70"/>
      <c r="L6" s="70"/>
      <c r="M6" s="71"/>
      <c r="N6" s="8">
        <f>23*N7</f>
        <v>0.73599999999999999</v>
      </c>
      <c r="O6" s="63"/>
      <c r="P6" s="66" t="s">
        <v>16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5.75" customHeight="1" x14ac:dyDescent="0.25">
      <c r="A7" s="72" t="s">
        <v>87</v>
      </c>
      <c r="B7" s="63"/>
      <c r="C7" s="63"/>
      <c r="D7" s="63"/>
      <c r="E7" s="63"/>
      <c r="F7" s="63"/>
      <c r="G7" s="63"/>
      <c r="H7" s="63"/>
      <c r="I7" s="63"/>
      <c r="J7" s="69" t="s">
        <v>17</v>
      </c>
      <c r="K7" s="70"/>
      <c r="L7" s="70"/>
      <c r="M7" s="71"/>
      <c r="N7" s="5">
        <v>3.2000000000000001E-2</v>
      </c>
      <c r="O7" s="63"/>
      <c r="P7" s="66" t="s">
        <v>81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ht="15.75" customHeight="1" x14ac:dyDescent="0.25">
      <c r="A8" s="72" t="s">
        <v>20</v>
      </c>
      <c r="B8" s="63"/>
      <c r="C8" s="63"/>
      <c r="D8" s="63"/>
      <c r="E8" s="63"/>
      <c r="F8" s="63"/>
      <c r="G8" s="63"/>
      <c r="H8" s="63"/>
      <c r="I8" s="63"/>
      <c r="J8" s="69" t="s">
        <v>21</v>
      </c>
      <c r="K8" s="70"/>
      <c r="L8" s="70"/>
      <c r="M8" s="71"/>
      <c r="N8" s="9">
        <v>7.2499999999999995E-2</v>
      </c>
      <c r="O8" s="63"/>
      <c r="P8" s="66" t="s">
        <v>23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5.75" customHeight="1" x14ac:dyDescent="0.25">
      <c r="A9" s="72" t="s">
        <v>82</v>
      </c>
      <c r="B9" s="63"/>
      <c r="C9" s="63"/>
      <c r="D9" s="63"/>
      <c r="E9" s="63"/>
      <c r="F9" s="63"/>
      <c r="G9" s="63"/>
      <c r="H9" s="63"/>
      <c r="I9" s="63"/>
      <c r="J9" s="69" t="s">
        <v>25</v>
      </c>
      <c r="K9" s="70"/>
      <c r="L9" s="70"/>
      <c r="M9" s="71"/>
      <c r="N9" s="9">
        <v>2.35E-2</v>
      </c>
      <c r="O9" s="63"/>
      <c r="P9" s="66" t="s">
        <v>83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 customHeight="1" x14ac:dyDescent="0.25">
      <c r="A10" s="72" t="s">
        <v>30</v>
      </c>
      <c r="B10" s="63"/>
      <c r="C10" s="63"/>
      <c r="D10" s="63"/>
      <c r="E10" s="63"/>
      <c r="F10" s="63"/>
      <c r="G10" s="63"/>
      <c r="H10" s="63"/>
      <c r="I10" s="63"/>
      <c r="J10" s="69" t="s">
        <v>31</v>
      </c>
      <c r="K10" s="70"/>
      <c r="L10" s="70"/>
      <c r="M10" s="71"/>
      <c r="N10" s="9">
        <v>0</v>
      </c>
      <c r="O10" s="63"/>
      <c r="P10" s="66" t="s">
        <v>32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5.75" customHeight="1" x14ac:dyDescent="0.25">
      <c r="A11" s="72" t="s">
        <v>34</v>
      </c>
      <c r="B11" s="63"/>
      <c r="C11" s="63"/>
      <c r="D11" s="63"/>
      <c r="E11" s="63"/>
      <c r="F11" s="63"/>
      <c r="G11" s="63"/>
      <c r="H11" s="63"/>
      <c r="I11" s="63"/>
      <c r="J11" s="69" t="s">
        <v>35</v>
      </c>
      <c r="K11" s="70"/>
      <c r="L11" s="70"/>
      <c r="M11" s="71"/>
      <c r="N11" s="9">
        <v>1.7999999999999999E-2</v>
      </c>
      <c r="O11" s="63"/>
      <c r="P11" s="72" t="s">
        <v>36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 customHeight="1" x14ac:dyDescent="0.25">
      <c r="A12" s="72" t="s">
        <v>37</v>
      </c>
      <c r="B12" s="63"/>
      <c r="C12" s="63"/>
      <c r="D12" s="63"/>
      <c r="E12" s="63"/>
      <c r="F12" s="63"/>
      <c r="G12" s="63"/>
      <c r="H12" s="63"/>
      <c r="I12" s="63"/>
      <c r="J12" s="69" t="s">
        <v>38</v>
      </c>
      <c r="K12" s="70"/>
      <c r="L12" s="70"/>
      <c r="M12" s="71"/>
      <c r="N12" s="5">
        <v>88</v>
      </c>
      <c r="O12" s="63"/>
      <c r="P12" s="81" t="s">
        <v>39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ht="15.75" customHeight="1" x14ac:dyDescent="0.35">
      <c r="A13" s="72" t="s">
        <v>40</v>
      </c>
      <c r="B13" s="63"/>
      <c r="C13" s="63"/>
      <c r="D13" s="63"/>
      <c r="E13" s="63"/>
      <c r="F13" s="63"/>
      <c r="G13" s="63"/>
      <c r="H13" s="63"/>
      <c r="I13" s="63"/>
      <c r="J13" s="69" t="s">
        <v>41</v>
      </c>
      <c r="K13" s="70"/>
      <c r="L13" s="70"/>
      <c r="M13" s="71"/>
      <c r="N13" s="9">
        <v>0.13</v>
      </c>
      <c r="O13" s="63"/>
      <c r="P13" s="3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ht="15.75" customHeight="1" x14ac:dyDescent="0.25">
      <c r="A14" s="72" t="s">
        <v>42</v>
      </c>
      <c r="B14" s="63"/>
      <c r="C14" s="63"/>
      <c r="D14" s="63"/>
      <c r="E14" s="63"/>
      <c r="F14" s="63"/>
      <c r="G14" s="63"/>
      <c r="H14" s="63"/>
      <c r="I14" s="63"/>
      <c r="J14" s="69" t="s">
        <v>43</v>
      </c>
      <c r="K14" s="70"/>
      <c r="L14" s="70"/>
      <c r="M14" s="71"/>
      <c r="N14" s="9">
        <v>0.21312999999999999</v>
      </c>
      <c r="O14" s="6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.75" customHeight="1" x14ac:dyDescent="0.2">
      <c r="A15" s="6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 ht="21" customHeight="1" x14ac:dyDescent="0.35">
      <c r="A16" s="65"/>
      <c r="B16" s="63"/>
      <c r="C16" s="63"/>
      <c r="D16" s="63"/>
      <c r="E16" s="62" t="s">
        <v>44</v>
      </c>
      <c r="F16" s="63"/>
      <c r="G16" s="63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ht="15.75" customHeight="1" x14ac:dyDescent="0.25">
      <c r="A17" s="87" t="s">
        <v>45</v>
      </c>
      <c r="B17" s="63"/>
      <c r="C17" s="63"/>
      <c r="D17" s="12">
        <v>45</v>
      </c>
      <c r="E17" s="12">
        <v>46</v>
      </c>
      <c r="F17" s="61">
        <v>47</v>
      </c>
      <c r="G17" s="61">
        <v>48</v>
      </c>
      <c r="H17" s="61">
        <v>49</v>
      </c>
      <c r="I17" s="61">
        <v>50</v>
      </c>
      <c r="J17" s="61">
        <v>51</v>
      </c>
      <c r="K17" s="61">
        <v>52</v>
      </c>
      <c r="L17" s="61">
        <v>53</v>
      </c>
      <c r="M17" s="61">
        <v>54</v>
      </c>
      <c r="N17" s="61">
        <v>55</v>
      </c>
      <c r="O17" s="61">
        <v>56</v>
      </c>
      <c r="P17" s="61">
        <v>57</v>
      </c>
      <c r="Q17" s="61">
        <v>58</v>
      </c>
      <c r="R17" s="61">
        <v>59</v>
      </c>
      <c r="S17" s="61">
        <v>60</v>
      </c>
      <c r="T17" s="61">
        <v>61</v>
      </c>
      <c r="U17" s="61">
        <v>62</v>
      </c>
      <c r="V17" s="61">
        <v>63</v>
      </c>
      <c r="W17" s="61">
        <v>64</v>
      </c>
      <c r="X17" s="61">
        <v>65</v>
      </c>
      <c r="Y17" s="61">
        <v>66</v>
      </c>
      <c r="Z17" s="61">
        <v>67</v>
      </c>
      <c r="AA17" s="84">
        <v>68</v>
      </c>
      <c r="AB17" s="6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5.75" customHeight="1" x14ac:dyDescent="0.25">
      <c r="A18" s="64" t="s">
        <v>46</v>
      </c>
      <c r="B18" s="63"/>
      <c r="C18" s="63"/>
      <c r="D18" s="3">
        <v>0</v>
      </c>
      <c r="E18" s="3">
        <v>1</v>
      </c>
      <c r="F18" s="3">
        <v>2</v>
      </c>
      <c r="G18" s="3">
        <v>3</v>
      </c>
      <c r="H18" s="3">
        <v>4</v>
      </c>
      <c r="I18" s="3">
        <v>5</v>
      </c>
      <c r="J18" s="3">
        <v>6</v>
      </c>
      <c r="K18" s="3">
        <v>7</v>
      </c>
      <c r="L18" s="3">
        <v>8</v>
      </c>
      <c r="M18" s="3">
        <v>9</v>
      </c>
      <c r="N18" s="3">
        <v>10</v>
      </c>
      <c r="O18" s="3">
        <v>11</v>
      </c>
      <c r="P18" s="3">
        <v>12</v>
      </c>
      <c r="Q18" s="3" t="s">
        <v>47</v>
      </c>
      <c r="R18" s="3">
        <v>14</v>
      </c>
      <c r="S18" s="3">
        <v>15</v>
      </c>
      <c r="T18" s="3">
        <v>16</v>
      </c>
      <c r="U18" s="3">
        <v>17</v>
      </c>
      <c r="V18" s="3">
        <v>18</v>
      </c>
      <c r="W18" s="3">
        <v>19</v>
      </c>
      <c r="X18" s="3">
        <v>20</v>
      </c>
      <c r="Y18" s="3">
        <v>21</v>
      </c>
      <c r="Z18" s="3">
        <v>22</v>
      </c>
      <c r="AA18" s="85" t="s">
        <v>48</v>
      </c>
      <c r="AB18" s="63"/>
    </row>
    <row r="19" spans="1:47" ht="15.75" customHeight="1" x14ac:dyDescent="0.25">
      <c r="A19" s="64" t="s">
        <v>49</v>
      </c>
      <c r="B19" s="63"/>
      <c r="C19" s="63"/>
      <c r="D19" s="13">
        <v>58681</v>
      </c>
      <c r="E19" s="13">
        <v>65850</v>
      </c>
      <c r="F19" s="13">
        <v>72681</v>
      </c>
      <c r="G19" s="13">
        <v>72681</v>
      </c>
      <c r="H19" s="13">
        <v>72681</v>
      </c>
      <c r="I19" s="13">
        <v>72681</v>
      </c>
      <c r="J19" s="13">
        <v>77766</v>
      </c>
      <c r="K19" s="13">
        <v>77766</v>
      </c>
      <c r="L19" s="13">
        <v>77766</v>
      </c>
      <c r="M19" s="13">
        <v>77766</v>
      </c>
      <c r="N19" s="13">
        <v>83211</v>
      </c>
      <c r="O19" s="13">
        <v>83211</v>
      </c>
      <c r="P19" s="13">
        <v>83211</v>
      </c>
      <c r="Q19" s="13">
        <v>90701</v>
      </c>
      <c r="R19" s="13">
        <v>97048</v>
      </c>
      <c r="S19" s="13">
        <v>97048</v>
      </c>
      <c r="T19" s="13">
        <v>103844</v>
      </c>
      <c r="U19" s="13">
        <v>103844</v>
      </c>
      <c r="V19" s="13">
        <v>103844</v>
      </c>
      <c r="W19" s="13">
        <v>103844</v>
      </c>
      <c r="X19" s="13">
        <v>103844</v>
      </c>
      <c r="Y19" s="13">
        <v>103844</v>
      </c>
      <c r="Z19" s="13">
        <v>103844</v>
      </c>
      <c r="AA19" s="86">
        <f>N4*N6</f>
        <v>76429.183999999994</v>
      </c>
      <c r="AB19" s="63"/>
    </row>
    <row r="20" spans="1:47" ht="15.75" customHeight="1" x14ac:dyDescent="0.2">
      <c r="A20" s="65"/>
      <c r="B20" s="63"/>
      <c r="C20" s="6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47" ht="15.75" customHeight="1" x14ac:dyDescent="0.2">
      <c r="A21" s="64" t="s">
        <v>50</v>
      </c>
      <c r="B21" s="63"/>
      <c r="C21" s="63"/>
      <c r="D21" s="13">
        <f>(D19*N13)</f>
        <v>7628.5300000000007</v>
      </c>
      <c r="E21" s="13">
        <f>(E19*N13)</f>
        <v>8560.5</v>
      </c>
      <c r="F21" s="13">
        <f>(F19*N13)</f>
        <v>9448.5300000000007</v>
      </c>
      <c r="G21" s="13">
        <f>(G19*N13)</f>
        <v>9448.5300000000007</v>
      </c>
      <c r="H21" s="13">
        <f>(H19*N13)</f>
        <v>9448.5300000000007</v>
      </c>
      <c r="I21" s="13">
        <f>(I19*N13)</f>
        <v>9448.5300000000007</v>
      </c>
      <c r="J21" s="13">
        <f>(J19*N13)</f>
        <v>10109.58</v>
      </c>
      <c r="K21" s="13">
        <f>(K19*N13)</f>
        <v>10109.58</v>
      </c>
      <c r="L21" s="13">
        <f>(L19*N13)</f>
        <v>10109.58</v>
      </c>
      <c r="M21" s="13">
        <f>(M19*N13)</f>
        <v>10109.58</v>
      </c>
      <c r="N21" s="13">
        <f>(N19*N13)</f>
        <v>10817.43</v>
      </c>
      <c r="O21" s="13">
        <f>(O19*N13)</f>
        <v>10817.43</v>
      </c>
      <c r="P21" s="13">
        <f>(P19*N13)</f>
        <v>10817.43</v>
      </c>
      <c r="Q21" s="13">
        <f>(Q19*N13)</f>
        <v>11791.130000000001</v>
      </c>
      <c r="R21" s="13">
        <f>(R19*N13)</f>
        <v>12616.24</v>
      </c>
      <c r="S21" s="13">
        <f>(S19*N13)</f>
        <v>12616.24</v>
      </c>
      <c r="T21" s="13">
        <f>(T19*N13)</f>
        <v>13499.720000000001</v>
      </c>
      <c r="U21" s="13">
        <f>(U19*N13)</f>
        <v>13499.720000000001</v>
      </c>
      <c r="V21" s="13">
        <f>(V19*N13)</f>
        <v>13499.720000000001</v>
      </c>
      <c r="W21" s="13">
        <f>(W19*N13)</f>
        <v>13499.720000000001</v>
      </c>
      <c r="X21" s="13">
        <f>(X19*N13)</f>
        <v>13499.720000000001</v>
      </c>
      <c r="Y21" s="13">
        <f>(Y19*N13)</f>
        <v>13499.720000000001</v>
      </c>
      <c r="Z21" s="13">
        <f>(Z19*N13)</f>
        <v>13499.720000000001</v>
      </c>
      <c r="AA21" s="13"/>
    </row>
    <row r="22" spans="1:47" ht="15.75" customHeight="1" x14ac:dyDescent="0.2">
      <c r="A22" s="64" t="s">
        <v>51</v>
      </c>
      <c r="B22" s="63"/>
      <c r="C22" s="63"/>
      <c r="D22" s="13">
        <f>SUM(D21)</f>
        <v>7628.5300000000007</v>
      </c>
      <c r="E22" s="13">
        <f t="shared" ref="E22:Z22" si="0">SUM(D22+E21)</f>
        <v>16189.03</v>
      </c>
      <c r="F22" s="13">
        <f t="shared" si="0"/>
        <v>25637.56</v>
      </c>
      <c r="G22" s="13">
        <f t="shared" si="0"/>
        <v>35086.090000000004</v>
      </c>
      <c r="H22" s="13">
        <f t="shared" si="0"/>
        <v>44534.62</v>
      </c>
      <c r="I22" s="13">
        <f t="shared" si="0"/>
        <v>53983.15</v>
      </c>
      <c r="J22" s="13">
        <f t="shared" si="0"/>
        <v>64092.73</v>
      </c>
      <c r="K22" s="13">
        <f t="shared" si="0"/>
        <v>74202.31</v>
      </c>
      <c r="L22" s="13">
        <f t="shared" si="0"/>
        <v>84311.89</v>
      </c>
      <c r="M22" s="13">
        <f t="shared" si="0"/>
        <v>94421.47</v>
      </c>
      <c r="N22" s="13">
        <f t="shared" si="0"/>
        <v>105238.9</v>
      </c>
      <c r="O22" s="13">
        <f t="shared" si="0"/>
        <v>116056.32999999999</v>
      </c>
      <c r="P22" s="13">
        <f t="shared" si="0"/>
        <v>126873.75999999998</v>
      </c>
      <c r="Q22" s="13">
        <f t="shared" si="0"/>
        <v>138664.88999999998</v>
      </c>
      <c r="R22" s="13">
        <f t="shared" si="0"/>
        <v>151281.12999999998</v>
      </c>
      <c r="S22" s="13">
        <f t="shared" si="0"/>
        <v>163897.36999999997</v>
      </c>
      <c r="T22" s="13">
        <f t="shared" si="0"/>
        <v>177397.08999999997</v>
      </c>
      <c r="U22" s="13">
        <f t="shared" si="0"/>
        <v>190896.80999999997</v>
      </c>
      <c r="V22" s="13">
        <f t="shared" si="0"/>
        <v>204396.52999999997</v>
      </c>
      <c r="W22" s="13">
        <f t="shared" si="0"/>
        <v>217896.24999999997</v>
      </c>
      <c r="X22" s="13">
        <f t="shared" si="0"/>
        <v>231395.96999999997</v>
      </c>
      <c r="Y22" s="13">
        <f t="shared" si="0"/>
        <v>244895.68999999997</v>
      </c>
      <c r="Z22" s="13">
        <f t="shared" si="0"/>
        <v>258395.40999999997</v>
      </c>
      <c r="AA22" s="13"/>
    </row>
    <row r="23" spans="1:47" ht="15.75" customHeight="1" x14ac:dyDescent="0.2">
      <c r="A23" s="65"/>
      <c r="B23" s="63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7" ht="15.75" customHeight="1" x14ac:dyDescent="0.2">
      <c r="A24" s="64" t="s">
        <v>52</v>
      </c>
      <c r="B24" s="63"/>
      <c r="C24" s="63"/>
      <c r="D24" s="13">
        <f>(D19*N14)</f>
        <v>12506.68153</v>
      </c>
      <c r="E24" s="13">
        <f>(E19*N14)</f>
        <v>14034.610499999999</v>
      </c>
      <c r="F24" s="13">
        <f>(F19*N14)</f>
        <v>15490.50153</v>
      </c>
      <c r="G24" s="13">
        <f>(G19*N14)</f>
        <v>15490.50153</v>
      </c>
      <c r="H24" s="13">
        <f>(H19*N14)</f>
        <v>15490.50153</v>
      </c>
      <c r="I24" s="13">
        <f>(I19*N14)</f>
        <v>15490.50153</v>
      </c>
      <c r="J24" s="13">
        <f>(J19*N14)</f>
        <v>16574.26758</v>
      </c>
      <c r="K24" s="13">
        <f>(K19*N14)</f>
        <v>16574.26758</v>
      </c>
      <c r="L24" s="13">
        <f>(L19*N14)</f>
        <v>16574.26758</v>
      </c>
      <c r="M24" s="13">
        <f>(M19*N14)</f>
        <v>16574.26758</v>
      </c>
      <c r="N24" s="13">
        <f>(N19*N14)</f>
        <v>17734.760429999998</v>
      </c>
      <c r="O24" s="13">
        <f>(O19*N14)</f>
        <v>17734.760429999998</v>
      </c>
      <c r="P24" s="13">
        <f>(P19*N14)</f>
        <v>17734.760429999998</v>
      </c>
      <c r="Q24" s="13">
        <f>(Q19*N14)</f>
        <v>19331.10413</v>
      </c>
      <c r="R24" s="13">
        <f>(R19*N14)</f>
        <v>20683.840239999998</v>
      </c>
      <c r="S24" s="13">
        <f>(S19*N14)</f>
        <v>20683.840239999998</v>
      </c>
      <c r="T24" s="13">
        <f>(T19*N14)</f>
        <v>22132.271719999997</v>
      </c>
      <c r="U24" s="13">
        <f>(U19*N14)</f>
        <v>22132.271719999997</v>
      </c>
      <c r="V24" s="13">
        <f>(V19*N14)</f>
        <v>22132.271719999997</v>
      </c>
      <c r="W24" s="13">
        <f>(W19*N14)</f>
        <v>22132.271719999997</v>
      </c>
      <c r="X24" s="13">
        <f>(X19*N14)</f>
        <v>22132.271719999997</v>
      </c>
      <c r="Y24" s="13">
        <f>(Y19*N14)</f>
        <v>22132.271719999997</v>
      </c>
      <c r="Z24" s="13">
        <f>(Z19*N14)</f>
        <v>22132.271719999997</v>
      </c>
      <c r="AA24" s="13"/>
    </row>
    <row r="25" spans="1:47" ht="15.75" customHeight="1" x14ac:dyDescent="0.2">
      <c r="A25" s="64" t="s">
        <v>53</v>
      </c>
      <c r="B25" s="63"/>
      <c r="C25" s="63"/>
      <c r="D25" s="13">
        <f>SUM(D24)</f>
        <v>12506.68153</v>
      </c>
      <c r="E25" s="13">
        <f t="shared" ref="E25:Z25" si="1">SUM(D25+E24)</f>
        <v>26541.292029999997</v>
      </c>
      <c r="F25" s="13">
        <f t="shared" si="1"/>
        <v>42031.793559999998</v>
      </c>
      <c r="G25" s="13">
        <f t="shared" si="1"/>
        <v>57522.29509</v>
      </c>
      <c r="H25" s="13">
        <f t="shared" si="1"/>
        <v>73012.796619999994</v>
      </c>
      <c r="I25" s="13">
        <f t="shared" si="1"/>
        <v>88503.298149999988</v>
      </c>
      <c r="J25" s="13">
        <f t="shared" si="1"/>
        <v>105077.56572999999</v>
      </c>
      <c r="K25" s="13">
        <f t="shared" si="1"/>
        <v>121651.83330999999</v>
      </c>
      <c r="L25" s="13">
        <f t="shared" si="1"/>
        <v>138226.10089</v>
      </c>
      <c r="M25" s="13">
        <f t="shared" si="1"/>
        <v>154800.36846999999</v>
      </c>
      <c r="N25" s="13">
        <f t="shared" si="1"/>
        <v>172535.12889999998</v>
      </c>
      <c r="O25" s="13">
        <f t="shared" si="1"/>
        <v>190269.88932999998</v>
      </c>
      <c r="P25" s="13">
        <f t="shared" si="1"/>
        <v>208004.64975999997</v>
      </c>
      <c r="Q25" s="13">
        <f t="shared" si="1"/>
        <v>227335.75388999996</v>
      </c>
      <c r="R25" s="13">
        <f t="shared" si="1"/>
        <v>248019.59412999995</v>
      </c>
      <c r="S25" s="13">
        <f t="shared" si="1"/>
        <v>268703.43436999997</v>
      </c>
      <c r="T25" s="13">
        <f t="shared" si="1"/>
        <v>290835.70608999999</v>
      </c>
      <c r="U25" s="13">
        <f t="shared" si="1"/>
        <v>312967.97781000001</v>
      </c>
      <c r="V25" s="13">
        <f t="shared" si="1"/>
        <v>335100.24953000003</v>
      </c>
      <c r="W25" s="13">
        <f t="shared" si="1"/>
        <v>357232.52125000005</v>
      </c>
      <c r="X25" s="13">
        <f t="shared" si="1"/>
        <v>379364.79297000007</v>
      </c>
      <c r="Y25" s="13">
        <f t="shared" si="1"/>
        <v>401497.06469000009</v>
      </c>
      <c r="Z25" s="13">
        <f t="shared" si="1"/>
        <v>423629.33641000011</v>
      </c>
      <c r="AA25" s="13"/>
    </row>
    <row r="26" spans="1:47" ht="15.75" customHeight="1" x14ac:dyDescent="0.2">
      <c r="A26" s="65"/>
      <c r="B26" s="63"/>
      <c r="C26" s="6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47" ht="15.75" customHeight="1" x14ac:dyDescent="0.2">
      <c r="A27" s="64" t="s">
        <v>54</v>
      </c>
      <c r="B27" s="63"/>
      <c r="C27" s="63"/>
      <c r="D27" s="13">
        <f t="shared" ref="D27:Z27" si="2">SUM(D21+D24)</f>
        <v>20135.21153</v>
      </c>
      <c r="E27" s="13">
        <f t="shared" si="2"/>
        <v>22595.110499999999</v>
      </c>
      <c r="F27" s="13">
        <f t="shared" si="2"/>
        <v>24939.03153</v>
      </c>
      <c r="G27" s="13">
        <f t="shared" si="2"/>
        <v>24939.03153</v>
      </c>
      <c r="H27" s="13">
        <f t="shared" si="2"/>
        <v>24939.03153</v>
      </c>
      <c r="I27" s="13">
        <f t="shared" si="2"/>
        <v>24939.03153</v>
      </c>
      <c r="J27" s="13">
        <f t="shared" si="2"/>
        <v>26683.847580000001</v>
      </c>
      <c r="K27" s="13">
        <f t="shared" si="2"/>
        <v>26683.847580000001</v>
      </c>
      <c r="L27" s="13">
        <f t="shared" si="2"/>
        <v>26683.847580000001</v>
      </c>
      <c r="M27" s="13">
        <f t="shared" si="2"/>
        <v>26683.847580000001</v>
      </c>
      <c r="N27" s="13">
        <f t="shared" si="2"/>
        <v>28552.190429999999</v>
      </c>
      <c r="O27" s="13">
        <f t="shared" si="2"/>
        <v>28552.190429999999</v>
      </c>
      <c r="P27" s="13">
        <f t="shared" si="2"/>
        <v>28552.190429999999</v>
      </c>
      <c r="Q27" s="13">
        <f t="shared" si="2"/>
        <v>31122.234130000001</v>
      </c>
      <c r="R27" s="13">
        <f t="shared" si="2"/>
        <v>33300.080239999996</v>
      </c>
      <c r="S27" s="13">
        <f t="shared" si="2"/>
        <v>33300.080239999996</v>
      </c>
      <c r="T27" s="13">
        <f t="shared" si="2"/>
        <v>35631.991719999998</v>
      </c>
      <c r="U27" s="13">
        <f t="shared" si="2"/>
        <v>35631.991719999998</v>
      </c>
      <c r="V27" s="13">
        <f t="shared" si="2"/>
        <v>35631.991719999998</v>
      </c>
      <c r="W27" s="13">
        <f t="shared" si="2"/>
        <v>35631.991719999998</v>
      </c>
      <c r="X27" s="13">
        <f t="shared" si="2"/>
        <v>35631.991719999998</v>
      </c>
      <c r="Y27" s="13">
        <f t="shared" si="2"/>
        <v>35631.991719999998</v>
      </c>
      <c r="Z27" s="13">
        <f t="shared" si="2"/>
        <v>35631.991719999998</v>
      </c>
      <c r="AA27" s="13"/>
    </row>
    <row r="28" spans="1:47" ht="15.75" customHeight="1" x14ac:dyDescent="0.2">
      <c r="A28" s="64" t="s">
        <v>55</v>
      </c>
      <c r="B28" s="63"/>
      <c r="C28" s="63"/>
      <c r="D28" s="13">
        <f>D27</f>
        <v>20135.21153</v>
      </c>
      <c r="E28" s="13">
        <f t="shared" ref="E28:Z28" si="3">SUM(D28+E27)</f>
        <v>42730.322029999996</v>
      </c>
      <c r="F28" s="13">
        <f t="shared" si="3"/>
        <v>67669.353559999989</v>
      </c>
      <c r="G28" s="13">
        <f t="shared" si="3"/>
        <v>92608.385089999996</v>
      </c>
      <c r="H28" s="13">
        <f t="shared" si="3"/>
        <v>117547.41662</v>
      </c>
      <c r="I28" s="13">
        <f t="shared" si="3"/>
        <v>142486.44815000001</v>
      </c>
      <c r="J28" s="13">
        <f t="shared" si="3"/>
        <v>169170.29573000001</v>
      </c>
      <c r="K28" s="13">
        <f t="shared" si="3"/>
        <v>195854.14331000001</v>
      </c>
      <c r="L28" s="13">
        <f t="shared" si="3"/>
        <v>222537.99089000002</v>
      </c>
      <c r="M28" s="13">
        <f t="shared" si="3"/>
        <v>249221.83847000002</v>
      </c>
      <c r="N28" s="13">
        <f t="shared" si="3"/>
        <v>277774.02890000003</v>
      </c>
      <c r="O28" s="13">
        <f t="shared" si="3"/>
        <v>306326.21933000005</v>
      </c>
      <c r="P28" s="13">
        <f t="shared" si="3"/>
        <v>334878.40976000007</v>
      </c>
      <c r="Q28" s="13">
        <f t="shared" si="3"/>
        <v>366000.64389000006</v>
      </c>
      <c r="R28" s="13">
        <f t="shared" si="3"/>
        <v>399300.72413000005</v>
      </c>
      <c r="S28" s="13">
        <f t="shared" si="3"/>
        <v>432600.80437000003</v>
      </c>
      <c r="T28" s="13">
        <f t="shared" si="3"/>
        <v>468232.79609000002</v>
      </c>
      <c r="U28" s="13">
        <f t="shared" si="3"/>
        <v>503864.78781000001</v>
      </c>
      <c r="V28" s="13">
        <f t="shared" si="3"/>
        <v>539496.77953000006</v>
      </c>
      <c r="W28" s="13">
        <f t="shared" si="3"/>
        <v>575128.77125000011</v>
      </c>
      <c r="X28" s="13">
        <f t="shared" si="3"/>
        <v>610760.76297000016</v>
      </c>
      <c r="Y28" s="13">
        <f t="shared" si="3"/>
        <v>646392.75469000021</v>
      </c>
      <c r="Z28" s="13">
        <f t="shared" si="3"/>
        <v>682024.74641000025</v>
      </c>
      <c r="AA28" s="83" t="s">
        <v>56</v>
      </c>
      <c r="AB28" s="63"/>
    </row>
    <row r="29" spans="1:47" ht="15.75" customHeight="1" x14ac:dyDescent="0.2">
      <c r="A29" s="65"/>
      <c r="B29" s="63"/>
      <c r="C29" s="6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63"/>
      <c r="AB29" s="63"/>
    </row>
    <row r="30" spans="1:47" ht="15.75" customHeight="1" x14ac:dyDescent="0.25">
      <c r="A30" s="78" t="s">
        <v>57</v>
      </c>
      <c r="B30" s="63"/>
      <c r="C30" s="63"/>
      <c r="D30" s="13">
        <f>ABS(PV(N8,1,0,E30))</f>
        <v>207294.74510599859</v>
      </c>
      <c r="E30" s="13">
        <f>ABS(PV(N8,1,0,F30))</f>
        <v>222323.6141261835</v>
      </c>
      <c r="F30" s="13">
        <f>ABS(PV(N8,1,0,G30))</f>
        <v>238442.07615033179</v>
      </c>
      <c r="G30" s="13">
        <f>ABS(PV(N8,1,0,H30))</f>
        <v>255729.12667123086</v>
      </c>
      <c r="H30" s="13">
        <f>ABS(PV(N8,1,0,I30))</f>
        <v>274269.48835489509</v>
      </c>
      <c r="I30" s="13">
        <f>ABS(PV(N8,1,0,J30))</f>
        <v>294154.02626062499</v>
      </c>
      <c r="J30" s="13">
        <f>ABS(PV(N8,1,0,K30))</f>
        <v>315480.19316452031</v>
      </c>
      <c r="K30" s="13">
        <f>ABS(PV(N8,1,0,L30))</f>
        <v>338352.50716894801</v>
      </c>
      <c r="L30" s="13">
        <f>ABS(PV(N8,1,0,M30))</f>
        <v>362883.06393869675</v>
      </c>
      <c r="M30" s="13">
        <f>ABS(PV(N8,1,0,N30))</f>
        <v>389192.08607425226</v>
      </c>
      <c r="N30" s="13">
        <f>ABS(PV(N8,1,0,O30))</f>
        <v>417408.51231463556</v>
      </c>
      <c r="O30" s="13">
        <f>ABS(PV(N8,1,0,P30))</f>
        <v>447670.62945744663</v>
      </c>
      <c r="P30" s="13">
        <f>ABS(PV(N8,1,0,Q30))</f>
        <v>480126.75009311154</v>
      </c>
      <c r="Q30" s="13">
        <f>ABS(PV(N8,1,0,R30))</f>
        <v>514935.93947486213</v>
      </c>
      <c r="R30" s="13">
        <f>ABS(PV(N8,1,0,S30))</f>
        <v>552268.79508678964</v>
      </c>
      <c r="S30" s="13">
        <f>ABS(PV(N8,1,0,T30))</f>
        <v>592308.28273058194</v>
      </c>
      <c r="T30" s="13">
        <f>ABS(PV(N8,1,0,U30))</f>
        <v>635250.63322854915</v>
      </c>
      <c r="U30" s="13">
        <f>ABS(PV(N8,1,0,V30))</f>
        <v>681306.30413761898</v>
      </c>
      <c r="V30" s="13">
        <f>ABS(PV(N8,1,0,W30))</f>
        <v>730701.01118759636</v>
      </c>
      <c r="W30" s="13">
        <f>ABS(PV(N8,1,0,X30))</f>
        <v>783676.83449869708</v>
      </c>
      <c r="X30" s="13">
        <f>ABS(PV(N8,1,0,Y30))</f>
        <v>840493.40499985265</v>
      </c>
      <c r="Y30" s="13">
        <f>ABS(PV(N8,1,0,Z30))</f>
        <v>901429.17686234193</v>
      </c>
      <c r="Z30" s="13">
        <f>ABS(PV(N8,1,0,AA30))</f>
        <v>966782.79218486173</v>
      </c>
      <c r="AA30" s="73">
        <f t="array" ref="AA30">NPV(N9,J42:AK42)</f>
        <v>1036874.5446182642</v>
      </c>
      <c r="AB30" s="63"/>
      <c r="AC30" s="14"/>
    </row>
    <row r="31" spans="1:47" ht="15.75" customHeight="1" x14ac:dyDescent="0.2">
      <c r="A31" s="78" t="s">
        <v>58</v>
      </c>
      <c r="B31" s="63"/>
      <c r="C31" s="63"/>
      <c r="D31" s="13">
        <f t="shared" ref="D31:M31" si="4">D22</f>
        <v>7628.5300000000007</v>
      </c>
      <c r="E31" s="13">
        <f t="shared" si="4"/>
        <v>16189.03</v>
      </c>
      <c r="F31" s="13">
        <f t="shared" si="4"/>
        <v>25637.56</v>
      </c>
      <c r="G31" s="13">
        <f t="shared" si="4"/>
        <v>35086.090000000004</v>
      </c>
      <c r="H31" s="13">
        <f t="shared" si="4"/>
        <v>44534.62</v>
      </c>
      <c r="I31" s="13">
        <f t="shared" si="4"/>
        <v>53983.15</v>
      </c>
      <c r="J31" s="13">
        <f t="shared" si="4"/>
        <v>64092.73</v>
      </c>
      <c r="K31" s="13">
        <f t="shared" si="4"/>
        <v>74202.31</v>
      </c>
      <c r="L31" s="13">
        <f t="shared" si="4"/>
        <v>84311.89</v>
      </c>
      <c r="M31" s="13">
        <f t="shared" si="4"/>
        <v>94421.47</v>
      </c>
      <c r="N31" s="15"/>
      <c r="O31" s="15"/>
      <c r="P31" s="15"/>
      <c r="Q31" s="15"/>
      <c r="R31" s="15"/>
      <c r="S31" s="16"/>
      <c r="T31" s="17"/>
      <c r="U31" s="18"/>
      <c r="V31" s="18"/>
      <c r="W31" s="18"/>
      <c r="X31" s="18"/>
      <c r="Y31" s="18"/>
      <c r="Z31" s="19"/>
      <c r="AA31" s="20"/>
    </row>
    <row r="32" spans="1:47" ht="15.75" customHeight="1" x14ac:dyDescent="0.2">
      <c r="A32" s="78" t="s">
        <v>59</v>
      </c>
      <c r="B32" s="63"/>
      <c r="C32" s="6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21">
        <f t="array" ref="N32">NPV(N9,0,0,0,0,0,0,0,D59:AK59)</f>
        <v>291240.77898589836</v>
      </c>
      <c r="O32" s="22">
        <f t="array" ref="O32">NPV(N9,0,0,0,0,0,0,D58:AK58)</f>
        <v>341586.04920553794</v>
      </c>
      <c r="P32" s="22">
        <f t="array" ref="P32">NPV(N9,0,0,0,0,0,D57:AK57)</f>
        <v>397116.54570637643</v>
      </c>
      <c r="Q32" s="22">
        <f t="array" ref="Q32">NPV(N9,0,0,0,0,D56:AK56)</f>
        <v>458240.41703501967</v>
      </c>
      <c r="R32" s="22">
        <f t="array" ref="R32">NPV(N9,0,0,0,D55:AMK55)</f>
        <v>529605.67549969885</v>
      </c>
      <c r="S32" s="22">
        <f t="array" ref="S32">NPV(N9,0,0,D54:AK54)</f>
        <v>623039.72186167131</v>
      </c>
      <c r="T32" s="22">
        <f t="array" ref="T32">NPV(N9,0,D53:AK53)</f>
        <v>727797.08388186898</v>
      </c>
      <c r="U32" s="21">
        <f t="array" ref="U32">NPV(N9,D52:AK52)</f>
        <v>858056.83691254724</v>
      </c>
      <c r="V32" s="22">
        <f t="array" ref="V32">NPV(N9,E51:AK51)</f>
        <v>908943.46751055017</v>
      </c>
      <c r="W32" s="22">
        <f t="array" ref="W32">NPV(N9,F50:AK50)</f>
        <v>957993.46660786739</v>
      </c>
      <c r="X32" s="22">
        <f t="array" ref="X32">NPV(N9,G47:AK47)</f>
        <v>983352.08604689967</v>
      </c>
      <c r="Y32" s="22">
        <f t="array" ref="Y32">NPV(N9,H46:AK46)</f>
        <v>1005092.3982407858</v>
      </c>
      <c r="Z32" s="22">
        <f t="array" ref="Z32">NPV(N9,I45:AK45)</f>
        <v>1023006.295955183</v>
      </c>
      <c r="AA32" s="13"/>
    </row>
    <row r="33" spans="1:57" ht="15.75" customHeight="1" x14ac:dyDescent="0.2">
      <c r="A33" s="65"/>
      <c r="B33" s="63"/>
      <c r="C33" s="63"/>
      <c r="D33" s="15"/>
      <c r="E33" s="15"/>
      <c r="F33" s="15"/>
      <c r="G33" s="15"/>
      <c r="H33" s="15"/>
      <c r="I33" s="15"/>
      <c r="J33" s="15"/>
      <c r="K33" s="15"/>
      <c r="L33" s="15"/>
      <c r="M33" s="24"/>
      <c r="N33" s="25"/>
      <c r="O33" s="2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57" ht="15.75" customHeight="1" x14ac:dyDescent="0.2">
      <c r="A34" s="88" t="s">
        <v>60</v>
      </c>
      <c r="B34" s="63"/>
      <c r="C34" s="63"/>
      <c r="D34" s="13">
        <f t="shared" ref="D34:M34" si="5">D31-D30</f>
        <v>-199666.21510599859</v>
      </c>
      <c r="E34" s="13">
        <f t="shared" si="5"/>
        <v>-206134.5841261835</v>
      </c>
      <c r="F34" s="13">
        <f t="shared" si="5"/>
        <v>-212804.51615033179</v>
      </c>
      <c r="G34" s="13">
        <f t="shared" si="5"/>
        <v>-220643.03667123086</v>
      </c>
      <c r="H34" s="13">
        <f t="shared" si="5"/>
        <v>-229734.86835489509</v>
      </c>
      <c r="I34" s="13">
        <f t="shared" si="5"/>
        <v>-240170.87626062499</v>
      </c>
      <c r="J34" s="13">
        <f t="shared" si="5"/>
        <v>-251387.4631645203</v>
      </c>
      <c r="K34" s="13">
        <f t="shared" si="5"/>
        <v>-264150.19716894801</v>
      </c>
      <c r="L34" s="13">
        <f t="shared" si="5"/>
        <v>-278571.17393869674</v>
      </c>
      <c r="M34" s="13">
        <f t="shared" si="5"/>
        <v>-294770.61607425229</v>
      </c>
      <c r="X34" s="15"/>
      <c r="Y34" s="15"/>
      <c r="Z34" s="15"/>
      <c r="AA34" s="15"/>
    </row>
    <row r="35" spans="1:57" ht="15.75" customHeight="1" x14ac:dyDescent="0.2">
      <c r="A35" s="88" t="s">
        <v>61</v>
      </c>
      <c r="B35" s="63"/>
      <c r="C35" s="6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ref="N35:W35" si="6">N32-N30</f>
        <v>-126167.7333287372</v>
      </c>
      <c r="O35" s="13">
        <f t="shared" si="6"/>
        <v>-106084.58025190869</v>
      </c>
      <c r="P35" s="13">
        <f t="shared" si="6"/>
        <v>-83010.204386735102</v>
      </c>
      <c r="Q35" s="13">
        <f t="shared" si="6"/>
        <v>-56695.522439842462</v>
      </c>
      <c r="R35" s="13">
        <f t="shared" si="6"/>
        <v>-22663.119587090798</v>
      </c>
      <c r="S35" s="13">
        <f t="shared" si="6"/>
        <v>30731.43913108937</v>
      </c>
      <c r="T35" s="13">
        <f t="shared" si="6"/>
        <v>92546.450653319829</v>
      </c>
      <c r="U35" s="13">
        <f t="shared" si="6"/>
        <v>176750.53277492826</v>
      </c>
      <c r="V35" s="13">
        <f t="shared" si="6"/>
        <v>178242.4563229538</v>
      </c>
      <c r="W35" s="13">
        <f t="shared" si="6"/>
        <v>174316.63210917031</v>
      </c>
      <c r="X35" s="15"/>
      <c r="Y35" s="15"/>
      <c r="Z35" s="15"/>
      <c r="AA35" s="77" t="s">
        <v>62</v>
      </c>
      <c r="AB35" s="63"/>
    </row>
    <row r="36" spans="1:57" ht="15.75" customHeight="1" x14ac:dyDescent="0.2">
      <c r="A36" s="63"/>
      <c r="B36" s="63"/>
      <c r="C36" s="63"/>
      <c r="AA36" s="63"/>
      <c r="AB36" s="63"/>
    </row>
    <row r="37" spans="1:57" ht="15.75" customHeight="1" x14ac:dyDescent="0.25">
      <c r="A37" s="80" t="s">
        <v>63</v>
      </c>
      <c r="B37" s="63"/>
      <c r="C37" s="63"/>
      <c r="D37" s="14">
        <f>ABS(FV((N8/26),26,(D27/26)))</f>
        <v>20852.950121762176</v>
      </c>
      <c r="E37" s="22">
        <f>ABS(FV((N8/26),26,(E27/26),(D37)))</f>
        <v>45819.214436384238</v>
      </c>
      <c r="F37" s="22">
        <f>ABS(FV((N8/26),26,(F27/26),(E37)))</f>
        <v>75087.526304549247</v>
      </c>
      <c r="G37" s="22">
        <f>ABS(FV((N8/26),26,(G27/26),(F37)))</f>
        <v>106553.42978382605</v>
      </c>
      <c r="H37" s="22">
        <f>ABS(FV((N8/26),26,(H27/26),(G37)))</f>
        <v>140381.92956977009</v>
      </c>
      <c r="I37" s="22">
        <f>ABS(FV((N8/26),26,(I27/26),(H37)))</f>
        <v>176750.41962508624</v>
      </c>
      <c r="J37" s="22">
        <f>ABS(FV((N8/26),26,(J27/26),(I37)))</f>
        <v>217656.62508199623</v>
      </c>
      <c r="K37" s="22">
        <f>ABS(FV((N8/26),26,(K27/26),(J37)))</f>
        <v>261634.24560238648</v>
      </c>
      <c r="L37" s="22">
        <f>ABS(FV((N8/26),26,(L27/26),(K37)))</f>
        <v>308913.89633099613</v>
      </c>
      <c r="M37" s="22">
        <f>ABS(FV((N8/26),26,(M27/26),(L37)))</f>
        <v>359743.50799638603</v>
      </c>
      <c r="N37" s="22">
        <f>ABS(FV((N8/26),26,(N27/26),(M37)))</f>
        <v>416324.56873170298</v>
      </c>
      <c r="O37" s="22">
        <f>ABS(FV((N8/26),26,(O27/26),(N37)))</f>
        <v>477153.98054991872</v>
      </c>
      <c r="P37" s="22">
        <f>ABS(FV((N8/26),26,(P27/26),(O37)))</f>
        <v>542550.72804921877</v>
      </c>
      <c r="Q37" s="22">
        <f>ABS(FV((N8/26),26,(Q27/26),(P37)))</f>
        <v>615519.40190275642</v>
      </c>
      <c r="R37" s="22">
        <f>ABS(FV((N8/26),26,(R27/26),(Q37)))</f>
        <v>696222.35729119636</v>
      </c>
      <c r="S37" s="22">
        <f>ABS(FV((N8/26),26,(S27/26),(R37)))</f>
        <v>782984.84008088929</v>
      </c>
      <c r="T37" s="22">
        <f>ABS(FV((N8/26),26,(T27/26),(S37)))</f>
        <v>878676.86049435195</v>
      </c>
      <c r="U37" s="22">
        <f>ABS(FV((N8/26),26,(U27/26),(T37)))</f>
        <v>981553.85222622182</v>
      </c>
      <c r="V37" s="22">
        <f>ABS(FV((N8/26),26,(V27/26),(U37)))</f>
        <v>1092155.2940399661</v>
      </c>
      <c r="W37" s="22">
        <f>ABS(FV((N8/26),26,(W27/26),(V37)))</f>
        <v>1211061.1711010034</v>
      </c>
      <c r="X37" s="22">
        <f>ABS(FV((N8/26),26,(X27/26),(W37)))</f>
        <v>1338895.0163727885</v>
      </c>
      <c r="Y37" s="22">
        <f>ABS(FV((N8/26),26,(Y27/26),(X37)))</f>
        <v>1476327.1803740864</v>
      </c>
      <c r="Z37" s="22">
        <f>ABS(FV((N8/26),26,(Z27/26),(Y37)))</f>
        <v>1624078.3464437851</v>
      </c>
      <c r="AA37" s="74">
        <f>Z37</f>
        <v>1624078.3464437851</v>
      </c>
      <c r="AB37" s="63"/>
    </row>
    <row r="38" spans="1:57" ht="15.75" customHeight="1" x14ac:dyDescent="0.2"/>
    <row r="39" spans="1:57" ht="21" customHeight="1" x14ac:dyDescent="0.35">
      <c r="A39" s="65"/>
      <c r="B39" s="63"/>
      <c r="C39" s="63"/>
      <c r="D39" s="63"/>
      <c r="E39" s="62" t="s">
        <v>64</v>
      </c>
      <c r="F39" s="63"/>
      <c r="G39" s="63"/>
      <c r="H39" s="76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57" ht="15.75" customHeight="1" x14ac:dyDescent="0.2">
      <c r="A40" s="87" t="s">
        <v>45</v>
      </c>
      <c r="B40" s="63"/>
      <c r="C40" s="63"/>
      <c r="D40" s="11">
        <v>62</v>
      </c>
      <c r="E40" s="11">
        <v>63</v>
      </c>
      <c r="F40" s="60">
        <v>64</v>
      </c>
      <c r="G40" s="60">
        <v>65</v>
      </c>
      <c r="H40" s="60">
        <v>66</v>
      </c>
      <c r="I40" s="60">
        <v>67</v>
      </c>
      <c r="J40" s="60">
        <v>68</v>
      </c>
      <c r="K40" s="60">
        <v>69</v>
      </c>
      <c r="L40" s="60">
        <v>70</v>
      </c>
      <c r="M40" s="60">
        <v>71</v>
      </c>
      <c r="N40" s="60">
        <v>72</v>
      </c>
      <c r="O40" s="60">
        <v>73</v>
      </c>
      <c r="P40" s="60">
        <v>74</v>
      </c>
      <c r="Q40" s="60">
        <v>75</v>
      </c>
      <c r="R40" s="60">
        <v>76</v>
      </c>
      <c r="S40" s="60">
        <v>77</v>
      </c>
      <c r="T40" s="60">
        <v>78</v>
      </c>
      <c r="U40" s="60">
        <v>79</v>
      </c>
      <c r="V40" s="60">
        <v>80</v>
      </c>
      <c r="W40" s="60">
        <v>81</v>
      </c>
      <c r="X40" s="60">
        <v>82</v>
      </c>
      <c r="Y40" s="60">
        <v>83</v>
      </c>
      <c r="Z40" s="60">
        <v>84</v>
      </c>
      <c r="AA40" s="60">
        <v>85</v>
      </c>
      <c r="AB40" s="60">
        <v>86</v>
      </c>
      <c r="AC40" s="60">
        <v>87</v>
      </c>
      <c r="AD40" s="60">
        <v>88</v>
      </c>
      <c r="AE40" s="60">
        <v>89</v>
      </c>
      <c r="AF40" s="60">
        <v>90</v>
      </c>
      <c r="AG40" s="60">
        <v>91</v>
      </c>
      <c r="AH40" s="60">
        <v>92</v>
      </c>
      <c r="AI40" s="60">
        <v>93</v>
      </c>
      <c r="AJ40" s="60">
        <v>94</v>
      </c>
      <c r="AK40" s="60">
        <v>95</v>
      </c>
      <c r="AL40" s="36"/>
      <c r="AM40" s="36"/>
      <c r="AN40" s="36"/>
      <c r="AO40" s="36"/>
      <c r="AP40" s="36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</row>
    <row r="41" spans="1:57" ht="15.75" customHeight="1" x14ac:dyDescent="0.2">
      <c r="A41" s="78" t="s">
        <v>65</v>
      </c>
      <c r="B41" s="63"/>
      <c r="C41" s="63"/>
      <c r="D41" s="48"/>
      <c r="E41" s="48"/>
      <c r="F41" s="48"/>
      <c r="G41" s="14"/>
      <c r="H41" s="14"/>
      <c r="I41" s="14"/>
      <c r="J41" s="14">
        <f>IF(N12&lt;=J40,0,AA19)</f>
        <v>76429.183999999994</v>
      </c>
      <c r="K41" s="14">
        <f>IF(N12&lt;=K40,0,AA19)</f>
        <v>76429.183999999994</v>
      </c>
      <c r="L41" s="22">
        <f>IF(N12&lt;=L40,0,AA19)</f>
        <v>76429.183999999994</v>
      </c>
      <c r="M41" s="22">
        <f>IF(N12&lt;=M40,0,AA19)</f>
        <v>76429.183999999994</v>
      </c>
      <c r="N41" s="22">
        <f>IF(N12&lt;=N40,0,AA19)</f>
        <v>76429.183999999994</v>
      </c>
      <c r="O41" s="22">
        <f>IF(N12&lt;=O40,0,AA19)</f>
        <v>76429.183999999994</v>
      </c>
      <c r="P41" s="22">
        <f>IF(N12&lt;=P40,0,AA19)</f>
        <v>76429.183999999994</v>
      </c>
      <c r="Q41" s="22">
        <f>IF(N12&lt;=Q40,0,AA19)</f>
        <v>76429.183999999994</v>
      </c>
      <c r="R41" s="22">
        <f>IF(N12&lt;=R40,0,AA19)</f>
        <v>76429.183999999994</v>
      </c>
      <c r="S41" s="22">
        <f>IF(N12&lt;=S40,0,AA19)</f>
        <v>76429.183999999994</v>
      </c>
      <c r="T41" s="22">
        <f>IF(N12&lt;=T40,0,AA19)</f>
        <v>76429.183999999994</v>
      </c>
      <c r="U41" s="22">
        <f>IF(N12&lt;=U40,0,AA19)</f>
        <v>76429.183999999994</v>
      </c>
      <c r="V41" s="22">
        <f>IF(N12&lt;=V40,0,AA19)</f>
        <v>76429.183999999994</v>
      </c>
      <c r="W41" s="22">
        <f>IF(N12&lt;=W40,0,AA19)</f>
        <v>76429.183999999994</v>
      </c>
      <c r="X41" s="22">
        <f>IF(N12&lt;=X40,0,AA19)</f>
        <v>76429.183999999994</v>
      </c>
      <c r="Y41" s="22">
        <f>IF(N12&lt;=Y40,0,AA19)</f>
        <v>76429.183999999994</v>
      </c>
      <c r="Z41" s="22">
        <f>IF(N12&lt;=Z40,0,AA19)</f>
        <v>76429.183999999994</v>
      </c>
      <c r="AA41" s="22">
        <f>IF(N12&lt;=AA40,0,AA19)</f>
        <v>76429.183999999994</v>
      </c>
      <c r="AB41" s="22">
        <f>IF(N12&lt;=AB40,0,AA19)</f>
        <v>76429.183999999994</v>
      </c>
      <c r="AC41" s="22">
        <f>IF(N12&lt;=AC40,0,AA19)</f>
        <v>76429.183999999994</v>
      </c>
      <c r="AD41" s="22">
        <f>IF(N12&lt;=AD40,0,AA19)</f>
        <v>0</v>
      </c>
      <c r="AE41" s="22">
        <f>IF(N12&lt;=AE40,0,AA19)</f>
        <v>0</v>
      </c>
      <c r="AF41" s="28">
        <f>IF(N12&lt;=AF40,0,AA19)</f>
        <v>0</v>
      </c>
      <c r="AG41" s="28">
        <f>IF(N12&lt;=AG40,0,AA19)</f>
        <v>0</v>
      </c>
      <c r="AH41" s="28">
        <f>IF(N12&lt;=AH40,0,AA19)</f>
        <v>0</v>
      </c>
      <c r="AI41" s="28">
        <f>IF(N12&lt;=AI40,0,AA19)</f>
        <v>0</v>
      </c>
      <c r="AJ41" s="28">
        <f>IF(N12&lt;=AJ40,0,AA19)</f>
        <v>0</v>
      </c>
      <c r="AK41" s="28">
        <f>IF(N12&lt;=AK40,0,AA19)</f>
        <v>0</v>
      </c>
      <c r="AL41" s="28"/>
      <c r="AM41" s="28"/>
      <c r="AN41" s="31"/>
      <c r="AO41" s="31"/>
      <c r="AP41" s="31"/>
      <c r="AQ41" s="31"/>
      <c r="AR41" s="31"/>
      <c r="AS41" s="31"/>
      <c r="AT41" s="31"/>
      <c r="AU41" s="31"/>
      <c r="AV41" s="31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7" ht="15.75" customHeight="1" x14ac:dyDescent="0.2">
      <c r="A42" s="78" t="s">
        <v>66</v>
      </c>
      <c r="B42" s="63"/>
      <c r="C42" s="63"/>
      <c r="D42" s="48"/>
      <c r="E42" s="48"/>
      <c r="F42" s="48"/>
      <c r="G42" s="14"/>
      <c r="H42" s="14"/>
      <c r="I42" s="14"/>
      <c r="J42" s="22">
        <f>IF(N12&lt;=J40,0,AA19)</f>
        <v>76429.183999999994</v>
      </c>
      <c r="K42" s="14">
        <f>IF(N12&lt;=K40,0,J42*(1-N11+N10))</f>
        <v>75053.458687999999</v>
      </c>
      <c r="L42" s="14">
        <f>IF(N12&lt;=L40,0,K42*(1-N11+N10))</f>
        <v>73702.496431616004</v>
      </c>
      <c r="M42" s="14">
        <f>IF(N12&lt;=M40,0,L42*(1-N11+N10))</f>
        <v>72375.851495846917</v>
      </c>
      <c r="N42" s="14">
        <f>IF(N12&lt;=N40,0,M42*(1-N11+N10))</f>
        <v>71073.086168921669</v>
      </c>
      <c r="O42" s="14">
        <f>IF(N12&lt;=O40,0,N42*(1-N11+N10))</f>
        <v>69793.770617881077</v>
      </c>
      <c r="P42" s="14">
        <f>IF(N12&lt;=P40,0,O42*(1-N11+N10))</f>
        <v>68537.482746759211</v>
      </c>
      <c r="Q42" s="14">
        <f>IF(N12&lt;=Q40,0,P42*(1-N11+N10))</f>
        <v>67303.808057317539</v>
      </c>
      <c r="R42" s="14">
        <f>IF(N12&lt;=R40,0,Q42*(1-N11+N10))</f>
        <v>66092.33951228582</v>
      </c>
      <c r="S42" s="14">
        <f>IF(N12&lt;=S40,0,R42*(1-N11+N10))</f>
        <v>64902.677401064677</v>
      </c>
      <c r="T42" s="14">
        <f>IF(N12&lt;=T40,0,S42*(1-N11+N10))</f>
        <v>63734.429207845511</v>
      </c>
      <c r="U42" s="14">
        <f>IF(N12&lt;=U40,0,T42*(1-N11+N10))</f>
        <v>62587.209482104292</v>
      </c>
      <c r="V42" s="14">
        <f>IF(N12&lt;=V40,0,U42*(1-N11+N10))</f>
        <v>61460.639711426411</v>
      </c>
      <c r="W42" s="14">
        <f>IF(N12&lt;=W40,0,V42*(1-N11+N10))</f>
        <v>60354.348196620733</v>
      </c>
      <c r="X42" s="14">
        <f>IF(N12&lt;=X40,0,W42*(1-N11+N10))</f>
        <v>59267.969929081555</v>
      </c>
      <c r="Y42" s="14">
        <f>IF(N12&lt;=Y40,0,X42*(1-N11+N10))</f>
        <v>58201.146470358086</v>
      </c>
      <c r="Z42" s="14">
        <f>IF(N12&lt;=Z40,0,Y42*(1-N11+N10))</f>
        <v>57153.525833891639</v>
      </c>
      <c r="AA42" s="14">
        <f>IF(N12&lt;=AA40,0,Z42*(1-N11+N10))</f>
        <v>56124.762368881587</v>
      </c>
      <c r="AB42" s="14">
        <f>IF(N12&lt;=AB40,0,AA42*(1-N11+N10))</f>
        <v>55114.516646241718</v>
      </c>
      <c r="AC42" s="14">
        <f>IF(N12&lt;=AC40,0,AB42*(1-N11+N10))</f>
        <v>54122.455346609364</v>
      </c>
      <c r="AD42" s="14">
        <f>IF(N12&lt;=AD40,0,AC42*(1-N11+N10))</f>
        <v>0</v>
      </c>
      <c r="AE42" s="14">
        <f>IF(N12&lt;=AE40,0,AD42*(1-N11+N10))</f>
        <v>0</v>
      </c>
      <c r="AF42" s="28">
        <f>IF(N12&lt;=AF40,0,AE42*(1-N11+N10))</f>
        <v>0</v>
      </c>
      <c r="AG42" s="28">
        <f>IF(N12&lt;=AG40,0,AF42*(1-N11+N10))</f>
        <v>0</v>
      </c>
      <c r="AH42" s="30">
        <f>IF(N12&lt;=AH40,0,AG42*(1-N11+N10))</f>
        <v>0</v>
      </c>
      <c r="AI42" s="28">
        <f>IF(N12&lt;=AI40,0,AH42*(1-N11+N10))</f>
        <v>0</v>
      </c>
      <c r="AJ42" s="28">
        <f>IF(N12&lt;=AJ40,0,AI42*(1-N11+N10))</f>
        <v>0</v>
      </c>
      <c r="AK42" s="28">
        <f>IF(N12&lt;=AK40,0,AJ42*(1-N11+N10))</f>
        <v>0</v>
      </c>
      <c r="AL42" s="28"/>
      <c r="AM42" s="28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</row>
    <row r="43" spans="1:57" ht="15.75" customHeight="1" x14ac:dyDescent="0.2">
      <c r="A43" s="65"/>
      <c r="B43" s="63"/>
      <c r="C43" s="63"/>
      <c r="D43" s="10"/>
      <c r="E43" s="10"/>
      <c r="F43" s="10"/>
      <c r="G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10"/>
      <c r="BE43" s="10"/>
    </row>
    <row r="44" spans="1:57" ht="15.75" customHeight="1" x14ac:dyDescent="0.2">
      <c r="A44" s="33" t="s">
        <v>67</v>
      </c>
      <c r="B44" s="33" t="s">
        <v>17</v>
      </c>
      <c r="C44" s="33" t="s">
        <v>68</v>
      </c>
      <c r="U44" s="36"/>
      <c r="AJ44" s="37"/>
      <c r="AK44" s="37"/>
      <c r="AL44" s="37"/>
      <c r="AM44" s="37"/>
      <c r="AN44" s="37"/>
      <c r="AO44" s="38"/>
      <c r="AP44" s="38"/>
      <c r="AQ44" s="38"/>
    </row>
    <row r="45" spans="1:57" ht="15.75" customHeight="1" x14ac:dyDescent="0.2">
      <c r="A45" s="39">
        <v>22</v>
      </c>
      <c r="B45" s="40">
        <f>(A45*N7)</f>
        <v>0.70399999999999996</v>
      </c>
      <c r="C45" s="41">
        <f>(((LARGE(P16:Y19,1))+(LARGE(P19:Y19,2))+(LARGE(P16:Y19,3)))/3)*(B45)</f>
        <v>73106.175999999992</v>
      </c>
      <c r="D45" s="22"/>
      <c r="E45" s="22"/>
      <c r="F45" s="22"/>
      <c r="G45" s="22"/>
      <c r="H45" s="22"/>
      <c r="I45" s="22">
        <f>IF(N12&lt;=I40,0,C45)</f>
        <v>73106.175999999992</v>
      </c>
      <c r="J45" s="22">
        <f>IF(N12&lt;=J40,0,I45*(1-N11+N10))</f>
        <v>71790.264831999986</v>
      </c>
      <c r="K45" s="22">
        <f>IF(N12&lt;=K40,0,J45*(1-N11+N10))</f>
        <v>70498.04006502399</v>
      </c>
      <c r="L45" s="22">
        <f>IF(N12&lt;=L40,0,K45*(1-N11+N10))</f>
        <v>69229.075343853561</v>
      </c>
      <c r="M45" s="22">
        <f>IF(N12&lt;=M40,0,L45*(1-N11+N10))</f>
        <v>67982.951987664201</v>
      </c>
      <c r="N45" s="22">
        <f>IF(N12&lt;=N40,0,M45*(1-N11+N10))</f>
        <v>66759.258851886247</v>
      </c>
      <c r="O45" s="22">
        <f>IF(N12&lt;=O40,0,N45*(1-N11+N10))</f>
        <v>65557.5921925523</v>
      </c>
      <c r="P45" s="22">
        <f>IF(N12&lt;=P40,0,O45*(1-N11+N10))</f>
        <v>64377.555533086357</v>
      </c>
      <c r="Q45" s="22">
        <f>IF(N12&lt;=Q40,0,P45*(1-N11+N10))</f>
        <v>63218.759533490804</v>
      </c>
      <c r="R45" s="22">
        <f>IF(N12&lt;=R40,0,Q45*(1-N11+N10))</f>
        <v>62080.821861887969</v>
      </c>
      <c r="S45" s="22">
        <f>IF(N12&lt;=S40,0,R45*(1-N11+N10))</f>
        <v>60963.367068373984</v>
      </c>
      <c r="T45" s="22">
        <f>IF(N12&lt;=T40,0,S45*(1-N11+N10))</f>
        <v>59866.02646114325</v>
      </c>
      <c r="U45" s="22">
        <f>IF(N12&lt;=U40,0,T45*(1-N11+N10))</f>
        <v>58788.437984842669</v>
      </c>
      <c r="V45" s="22">
        <f>IF(N12&lt;=V40,0,U45*(1-N11+N10))</f>
        <v>57730.246101115503</v>
      </c>
      <c r="W45" s="22">
        <f>IF(N12&lt;=W40,0,V45*(1-N11+N10))</f>
        <v>56691.101671295422</v>
      </c>
      <c r="X45" s="22">
        <f>IF(N12&lt;=X40,0,W45*(1-N11+N10))</f>
        <v>55670.661841212102</v>
      </c>
      <c r="Y45" s="22">
        <f>IF(N12&lt;=Y40,0,X45*(1-N11+N10))</f>
        <v>54668.589928070287</v>
      </c>
      <c r="Z45" s="22">
        <f>IF(N12&lt;=Z40,0,Y45*(1-N11+N10))</f>
        <v>53684.555309365023</v>
      </c>
      <c r="AA45" s="22">
        <f>IF(N12&lt;=AA40,0,Z45*(1-N11+N10))</f>
        <v>52718.233313796452</v>
      </c>
      <c r="AB45" s="22">
        <f>IF(N12&lt;=AB40,0,AA45*(1-N11+N10))</f>
        <v>51769.305114148112</v>
      </c>
      <c r="AC45" s="22">
        <f>IF(N12&lt;=AC40,0,AB45*(1-N11+N10))</f>
        <v>50837.457622093447</v>
      </c>
      <c r="AD45" s="22">
        <f>IF(N12&lt;=AD40,0,AC45*(1-N11+N10))</f>
        <v>0</v>
      </c>
      <c r="AE45" s="22">
        <f>IF(N12&lt;=AE40,0,AD45*(1-N11+N10))</f>
        <v>0</v>
      </c>
      <c r="AF45" s="22">
        <f>IF(N12&lt;=AF40,0,AE45*(1-N11+N10))</f>
        <v>0</v>
      </c>
      <c r="AG45" s="22">
        <f>IF(N12&lt;=AG40,0,AF45*(1-N11+N10))</f>
        <v>0</v>
      </c>
      <c r="AH45" s="22">
        <f>IF(N12&lt;=AH40,0,AG45*(1-N11+N10))</f>
        <v>0</v>
      </c>
      <c r="AI45" s="22">
        <f>IF(N12&lt;=AI40,0,AH45*(1-N11+N10))</f>
        <v>0</v>
      </c>
      <c r="AJ45" s="22">
        <f>IF(N12&lt;=AJ40,0,AI45*(1-N11+N10))</f>
        <v>0</v>
      </c>
      <c r="AK45" s="22">
        <f>IF(N12&lt;=AK40,0,AJ45*(1-N11+N10))</f>
        <v>0</v>
      </c>
      <c r="AL45" s="22"/>
      <c r="AM45" s="22"/>
      <c r="AN45" s="22"/>
      <c r="AO45" s="22"/>
      <c r="AP45" s="22"/>
      <c r="AQ45" s="22"/>
      <c r="AR45" s="22"/>
      <c r="AS45" s="13"/>
    </row>
    <row r="46" spans="1:57" ht="15.75" customHeight="1" x14ac:dyDescent="0.2">
      <c r="A46" s="39">
        <v>21</v>
      </c>
      <c r="B46" s="40">
        <f>(A46*N7)</f>
        <v>0.67200000000000004</v>
      </c>
      <c r="C46" s="41">
        <f>(((LARGE(O19:X19,1))+(LARGE(O19:X19,2))+(LARGE(O19:X19,3)))/3)*(B46)</f>
        <v>69783.168000000005</v>
      </c>
      <c r="D46" s="22"/>
      <c r="E46" s="22"/>
      <c r="F46" s="22"/>
      <c r="G46" s="22"/>
      <c r="H46" s="22">
        <f>IF(N12&lt;=H40,0,C46)</f>
        <v>69783.168000000005</v>
      </c>
      <c r="I46" s="22">
        <f>IF(N12&lt;=I40,0,H46*(1-N11+N10))</f>
        <v>68527.070976000003</v>
      </c>
      <c r="J46" s="22">
        <f>IF(N12&lt;=J40,0,I46*(1-N11+N10))</f>
        <v>67293.583698432005</v>
      </c>
      <c r="K46" s="22">
        <f>IF(N12&lt;=K40,0,J46*(1-N11+N10))</f>
        <v>66082.299191860235</v>
      </c>
      <c r="L46" s="22">
        <f>IF(N12&lt;=L40,0,K46*(1-N11+N10))</f>
        <v>64892.817806406747</v>
      </c>
      <c r="M46" s="22">
        <f>IF(N12&lt;=M40,0,L46*(1-N11+N10))</f>
        <v>63724.747085891424</v>
      </c>
      <c r="N46" s="22">
        <f>IF(N12&lt;=N40,0,M46*(1-N11+N10))</f>
        <v>62577.701638345374</v>
      </c>
      <c r="O46" s="22">
        <f>IF(N12&lt;=O40,0,N46*(1-N11+N10))</f>
        <v>61451.303008855153</v>
      </c>
      <c r="P46" s="22">
        <f>IF(N12&lt;=P40,0,O46*(1-N11+N10))</f>
        <v>60345.179554695758</v>
      </c>
      <c r="Q46" s="22">
        <f>IF(N12&lt;=Q40,0,P46*(1-N11+N10))</f>
        <v>59258.966322711232</v>
      </c>
      <c r="R46" s="22">
        <f>IF(N12&lt;=R40,0,Q46*(1-N11+N10))</f>
        <v>58192.304928902427</v>
      </c>
      <c r="S46" s="22">
        <f>IF(N12&lt;=S40,0,R46*(1-N11+N10))</f>
        <v>57144.84344018218</v>
      </c>
      <c r="T46" s="22">
        <f>IF(N12&lt;=T40,0,S46*(1-N11+N10))</f>
        <v>56116.236258258898</v>
      </c>
      <c r="U46" s="22">
        <f>IF(N12&lt;=U40,0,T46*(1-N11+N10))</f>
        <v>55106.144005610236</v>
      </c>
      <c r="V46" s="22">
        <f>IF(N12&lt;=V40,0,U46*(1-N11+N10))</f>
        <v>54114.233413509253</v>
      </c>
      <c r="W46" s="22">
        <f>IF(N12&lt;=W40,0,V46*(1-N11+N10))</f>
        <v>53140.177212066083</v>
      </c>
      <c r="X46" s="22">
        <f>IF(N12&lt;=X40,0,W46*(1-N11+N10))</f>
        <v>52183.654022248891</v>
      </c>
      <c r="Y46" s="22">
        <f>IF(N12&lt;=Y40,0,X46*(1-N11+N10))</f>
        <v>51244.348249848408</v>
      </c>
      <c r="Z46" s="22">
        <f>IF(N12&lt;=Z40,0,Y46*(1-N11+N10))</f>
        <v>50321.949981351136</v>
      </c>
      <c r="AA46" s="22">
        <f>IF(N12&lt;=AA40,0,Z46*(1-N11+N10))</f>
        <v>49416.154881686816</v>
      </c>
      <c r="AB46" s="22">
        <f>IF(N12&lt;=AB40,0,AA46*(1-N11+N10))</f>
        <v>48526.664093816449</v>
      </c>
      <c r="AC46" s="22">
        <f>IF(N12&lt;=AC40,0,AB46*(1-N11+N10))</f>
        <v>47653.184140127749</v>
      </c>
      <c r="AD46" s="22">
        <f>IF(N12&lt;=AD40,0,AC46*(1-N11+N10))</f>
        <v>0</v>
      </c>
      <c r="AE46" s="22">
        <f>IF(N12&lt;=AE40,0,AD46*(1-N11+N10))</f>
        <v>0</v>
      </c>
      <c r="AF46" s="22">
        <f>IF(N12&lt;=AF40,0,AE46*(1-N11+N10))</f>
        <v>0</v>
      </c>
      <c r="AG46" s="22">
        <f>IF(N12&lt;=AG40,0,AF46*(1-N11+N10))</f>
        <v>0</v>
      </c>
      <c r="AH46" s="22">
        <f>IF(N12&lt;=AH40,0,AG46*(1-N11+N10))</f>
        <v>0</v>
      </c>
      <c r="AI46" s="22">
        <f>IF(N12&lt;=AI40,0,AH46*(1-N11+N10))</f>
        <v>0</v>
      </c>
      <c r="AJ46" s="22">
        <f>IF(N12&lt;=AJ40,0,AI46*(1-N11+N10))</f>
        <v>0</v>
      </c>
      <c r="AK46" s="22">
        <f>IF(N12&lt;=AK40,0,AJ46*(1-N11+N10))</f>
        <v>0</v>
      </c>
      <c r="AL46" s="22"/>
      <c r="AM46" s="22"/>
      <c r="AN46" s="22"/>
      <c r="AO46" s="22"/>
      <c r="AP46" s="22"/>
      <c r="AQ46" s="22"/>
      <c r="AR46" s="22"/>
      <c r="AS46" s="13"/>
    </row>
    <row r="47" spans="1:57" ht="15.75" customHeight="1" x14ac:dyDescent="0.2">
      <c r="A47" s="39">
        <v>20</v>
      </c>
      <c r="B47" s="40">
        <f>(A47*N7)</f>
        <v>0.64</v>
      </c>
      <c r="C47" s="41">
        <f>(((LARGE(N19:W19,1))+(LARGE(N19:W19,2))+(LARGE(N19:W19,3)))/3)*(B47)</f>
        <v>66460.160000000003</v>
      </c>
      <c r="D47" s="22"/>
      <c r="E47" s="22"/>
      <c r="F47" s="22"/>
      <c r="G47" s="22">
        <f>IF(N12&lt;=G40,0,C47)</f>
        <v>66460.160000000003</v>
      </c>
      <c r="H47" s="22">
        <f>IF(N12&lt;=H40,0,G47*(1-N11+N10))</f>
        <v>65263.877120000005</v>
      </c>
      <c r="I47" s="22">
        <f>IF(N12&lt;=I40,0,H47*(1-N11+N10))</f>
        <v>64089.127331840005</v>
      </c>
      <c r="J47" s="22">
        <f>IF(N12&lt;=J40,0,I47*(1-N11+N10))</f>
        <v>62935.523039866886</v>
      </c>
      <c r="K47" s="22">
        <f>IF(N12&lt;=K40,0,J47*(1-N11+N10))</f>
        <v>61802.683625149279</v>
      </c>
      <c r="L47" s="22">
        <f>IF(N12&lt;=L40,0,K47*(1-N11+N10))</f>
        <v>60690.235319896594</v>
      </c>
      <c r="M47" s="22">
        <f>IF(N12&lt;=M40,0,L47*(1-N11+N10))</f>
        <v>59597.811084138455</v>
      </c>
      <c r="N47" s="22">
        <f>IF(N12&lt;=N40,0,M47*(1-N11+N10))</f>
        <v>58525.050484623964</v>
      </c>
      <c r="O47" s="22">
        <f>IF(N12&lt;=O40,0,N47*(1-N11+N10))</f>
        <v>57471.599575900735</v>
      </c>
      <c r="P47" s="22">
        <f>IF(N12&lt;=P40,0,O47*(1-N11+N10))</f>
        <v>56437.110783534517</v>
      </c>
      <c r="Q47" s="22">
        <f>IF(N12&lt;=Q40,0,P47*(1-N11+N10))</f>
        <v>55421.242789430893</v>
      </c>
      <c r="R47" s="22">
        <f>IF(N12&lt;=R40,0,Q47*(1-N11+N10))</f>
        <v>54423.660419221138</v>
      </c>
      <c r="S47" s="22">
        <f>IF(N12&lt;=S40,0,R47*(1-N11+N10))</f>
        <v>53444.034531675155</v>
      </c>
      <c r="T47" s="22">
        <f>IF(N12&lt;=T40,0,S47*(1-N11+N10))</f>
        <v>52482.041910104999</v>
      </c>
      <c r="U47" s="22">
        <f>IF(N12&lt;=U40,0,T47*(1-N11+N10))</f>
        <v>51537.365155723106</v>
      </c>
      <c r="V47" s="22">
        <f>IF(N12&lt;=V40,0,U47*(1-N11+N10))</f>
        <v>50609.692582920092</v>
      </c>
      <c r="W47" s="22">
        <f>IF(N12&lt;=W40,0,V47*(1-N11+N10))</f>
        <v>49698.718116427532</v>
      </c>
      <c r="X47" s="22">
        <f>IF(N12&lt;=X40,0,W47*(1-N11+N10))</f>
        <v>48804.141190331837</v>
      </c>
      <c r="Y47" s="22">
        <f>IF(N12&lt;=Y40,0,X47*(1-N11+N10))</f>
        <v>47925.666648905863</v>
      </c>
      <c r="Z47" s="22">
        <f>IF(N12&lt;=Z40,0,Y47*(1-N11+N10))</f>
        <v>47063.004649225557</v>
      </c>
      <c r="AA47" s="22">
        <f>IF(N12&lt;=AA40,0,Z47*(1-N11+N10))</f>
        <v>46215.870565539495</v>
      </c>
      <c r="AB47" s="22">
        <f>IF(N12&lt;=AB40,0,AA47*(1-N11+N10))</f>
        <v>45383.984895359783</v>
      </c>
      <c r="AC47" s="22">
        <f>IF(N12&lt;=AC40,0,AB47*(1-N11+N10))</f>
        <v>44567.073167243303</v>
      </c>
      <c r="AD47" s="22">
        <f>IF(N12&lt;=AD40,0,AC47*(1-N11+N10))</f>
        <v>0</v>
      </c>
      <c r="AE47" s="22">
        <f>IF(N12&lt;=AE40,0,AD47*(1-N11+N10))</f>
        <v>0</v>
      </c>
      <c r="AF47" s="22">
        <f>IF(N12&lt;=AF40,0,AE47*(1-N11+N10))</f>
        <v>0</v>
      </c>
      <c r="AG47" s="22">
        <f>IF(N12&lt;=AG40,0,AF47*(1-N11+N10))</f>
        <v>0</v>
      </c>
      <c r="AH47" s="22">
        <f>IF(N12&lt;=AH40,0,AG47*(1-N11+N10))</f>
        <v>0</v>
      </c>
      <c r="AI47" s="22">
        <f>IF(N12&lt;=AI40,0,AH47*(1-N11+N10))</f>
        <v>0</v>
      </c>
      <c r="AJ47" s="22">
        <f>IF(N12&lt;=AJ40,0,AI47*(1-N11+N10))</f>
        <v>0</v>
      </c>
      <c r="AK47" s="22">
        <f>IF(N12&lt;=AK40,0,AJ47*(1-N11+N10))</f>
        <v>0</v>
      </c>
      <c r="AL47" s="22"/>
      <c r="AM47" s="22"/>
      <c r="AN47" s="22"/>
      <c r="AO47" s="22"/>
      <c r="AP47" s="22"/>
      <c r="AQ47" s="22"/>
      <c r="AR47" s="22"/>
      <c r="AS47" s="13"/>
    </row>
    <row r="48" spans="1:57" ht="15.75" customHeight="1" x14ac:dyDescent="0.2">
      <c r="A48" s="39"/>
      <c r="B48" s="40"/>
      <c r="C48" s="41"/>
      <c r="D48" s="21"/>
      <c r="E48" s="21"/>
      <c r="F48" s="21"/>
      <c r="G48" s="2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51"/>
      <c r="AK48" s="51"/>
      <c r="AL48" s="51"/>
      <c r="AM48" s="51"/>
      <c r="AN48" s="51"/>
      <c r="AO48" s="13"/>
      <c r="AP48" s="13"/>
      <c r="AQ48" s="13"/>
      <c r="AR48" s="13"/>
      <c r="AS48" s="13"/>
    </row>
    <row r="49" spans="1:57" ht="15.75" customHeight="1" x14ac:dyDescent="0.25">
      <c r="A49" s="39"/>
      <c r="B49" s="40"/>
      <c r="C49" s="41"/>
      <c r="D49" s="75" t="s">
        <v>69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51"/>
      <c r="AH49" s="51"/>
      <c r="AI49" s="51"/>
      <c r="AJ49" s="51"/>
      <c r="AK49" s="51"/>
      <c r="AL49" s="13"/>
      <c r="AM49" s="13"/>
      <c r="AN49" s="13"/>
      <c r="AO49" s="13"/>
      <c r="AP49" s="13"/>
    </row>
    <row r="50" spans="1:57" ht="15.75" customHeight="1" x14ac:dyDescent="0.2">
      <c r="A50" s="39">
        <v>19</v>
      </c>
      <c r="B50" s="40">
        <f>(A50*N7)</f>
        <v>0.60799999999999998</v>
      </c>
      <c r="C50" s="41">
        <f>(((LARGE(M19:V19,1))+(LARGE(M19:V19,2))+(LARGE(M19:V19,3)))/3)*(B50)</f>
        <v>63137.152000000002</v>
      </c>
      <c r="D50" s="21"/>
      <c r="E50" s="21"/>
      <c r="F50" s="21">
        <f>IF(N12&lt;=F40,0,C50)</f>
        <v>63137.152000000002</v>
      </c>
      <c r="G50" s="13">
        <f>IF(N12&lt;=G40,0,F50*(1-N11+N10))</f>
        <v>62000.683263999999</v>
      </c>
      <c r="H50" s="13">
        <f>IF(N12&lt;=H40,0,G50*(1-N11+N10))</f>
        <v>60884.670965247999</v>
      </c>
      <c r="I50" s="13">
        <f>IF(N12&lt;=I40,0,H50*(1-N11+N10))</f>
        <v>59788.746887873531</v>
      </c>
      <c r="J50" s="13">
        <f>IF(N12&lt;=J40,0,I50*(1-N11+N10))</f>
        <v>58712.549443891803</v>
      </c>
      <c r="K50" s="13">
        <f>IF(N12&lt;=K40,0,J50*(1-N11+N10))</f>
        <v>57655.723553901749</v>
      </c>
      <c r="L50" s="13">
        <f>IF(N12&lt;=L40,0,K50*(1-N11+N10))</f>
        <v>56617.920529931514</v>
      </c>
      <c r="M50" s="13">
        <f>IF(N12&lt;=M40,0,L50*(1-N11+N10))</f>
        <v>55598.797960392745</v>
      </c>
      <c r="N50" s="13">
        <f>IF(N12&lt;=N40,0,M50*(1-N11+N10))</f>
        <v>54598.019597105675</v>
      </c>
      <c r="O50" s="13">
        <f>IF(N12&lt;=O40,0,N50*(1-N11+N10))</f>
        <v>53615.255244357773</v>
      </c>
      <c r="P50" s="13">
        <f>IF(N12&lt;=P40,0,O50*(1-N11+N10))</f>
        <v>52650.180649959329</v>
      </c>
      <c r="Q50" s="13">
        <f>IF(N12&lt;=Q40,0,P50*(1-N11+N10))</f>
        <v>51702.47739826006</v>
      </c>
      <c r="R50" s="13">
        <f>IF(N12&lt;=R40,0,Q50*(1-N11+N10))</f>
        <v>50771.832805091377</v>
      </c>
      <c r="S50" s="13">
        <f>IF(N12&lt;=S40,0,R50*(1-N11+N10))</f>
        <v>49857.939814599733</v>
      </c>
      <c r="T50" s="13">
        <f>IF(N12&lt;=T40,0,S50*(1-N11+N10))</f>
        <v>48960.496897936937</v>
      </c>
      <c r="U50" s="13">
        <f>IF(N12&lt;=U40,0,T50*(1-N11+N10))</f>
        <v>48079.207953774072</v>
      </c>
      <c r="V50" s="13">
        <f>IF(N12&lt;=V40,0,U50*(1-N11+N10))</f>
        <v>47213.782210606136</v>
      </c>
      <c r="W50" s="13">
        <f>IF(N12&lt;=W40,0,V50*(1-N11+N10))</f>
        <v>46363.934130815222</v>
      </c>
      <c r="X50" s="13">
        <f>IF(N12&lt;=X40,0,W50*(1-N11+N10))</f>
        <v>45529.383316460546</v>
      </c>
      <c r="Y50" s="13">
        <f>IF(N12&lt;=Y40,0,X50*(1-N11+N10))</f>
        <v>44709.854416764254</v>
      </c>
      <c r="Z50" s="13">
        <f>IF(N12&lt;=Z40,0,Y50*(1-N11+N10))</f>
        <v>43905.077037262497</v>
      </c>
      <c r="AA50" s="13">
        <f>IF(N12&lt;=AA40,0,Z50*(1-N11+N10))</f>
        <v>43114.785650591773</v>
      </c>
      <c r="AB50" s="13">
        <f>IF(N12&lt;=AB40,0,AA50*(1-N11+N10))</f>
        <v>42338.71950888112</v>
      </c>
      <c r="AC50" s="13">
        <f>IF(N12&lt;=AC40,0,AB50*(1-N11+N10))</f>
        <v>41576.622557721261</v>
      </c>
      <c r="AD50" s="13">
        <f>IF(N12&lt;=AD40,0,AC50*(1-N11+N10))</f>
        <v>0</v>
      </c>
      <c r="AE50" s="13">
        <f>IF(N12&lt;=AE40,0,AD50*(1-N11+N10))</f>
        <v>0</v>
      </c>
      <c r="AF50" s="13">
        <f>IF(N12&lt;=AF40,0,AE50*(1-N11+N10))</f>
        <v>0</v>
      </c>
      <c r="AG50" s="13">
        <f>IF(N12&lt;=AG40,0,AF50*(1-N11+N10))</f>
        <v>0</v>
      </c>
      <c r="AH50" s="13">
        <f>IF(N12&lt;=AH40,0,AG50*(1-N11+N10))</f>
        <v>0</v>
      </c>
      <c r="AI50" s="13">
        <f>IF(N12&lt;=AI40,0,AH50*(1-N11+N10))</f>
        <v>0</v>
      </c>
      <c r="AJ50" s="13">
        <f>IF(N12&lt;=AJ40,0,AI50*(1-N11+N10))</f>
        <v>0</v>
      </c>
      <c r="AK50" s="13">
        <f>IF(N12&lt;=AK40,0,AJ50*(1-N11+N10))</f>
        <v>0</v>
      </c>
      <c r="AL50" s="13"/>
      <c r="AM50" s="13"/>
      <c r="AN50" s="13"/>
      <c r="AO50" s="13"/>
      <c r="AP50" s="13"/>
      <c r="AQ50" s="13"/>
      <c r="AR50" s="13"/>
    </row>
    <row r="51" spans="1:57" ht="15.75" customHeight="1" x14ac:dyDescent="0.2">
      <c r="A51" s="39">
        <v>18</v>
      </c>
      <c r="B51" s="40">
        <f>(A51*N7)</f>
        <v>0.57600000000000007</v>
      </c>
      <c r="C51" s="41">
        <f>(((LARGE(L19:U19,1))+(LARGE(L19:U19,2))+(LARGE(L19:U19,3)))/3)*(B51)</f>
        <v>58509.312000000013</v>
      </c>
      <c r="D51" s="21"/>
      <c r="E51" s="22">
        <f>IF(N12&lt;=E40,0,C51)</f>
        <v>58509.312000000013</v>
      </c>
      <c r="F51" s="13">
        <f>IF(N12&lt;=F40,0,E51*(1-N11+N10))</f>
        <v>57456.144384000014</v>
      </c>
      <c r="G51" s="13">
        <f>IF(N12&lt;=G40,0,F51*(1-N11+N10))</f>
        <v>56421.933785088011</v>
      </c>
      <c r="H51" s="13">
        <f>IF(N12&lt;=H40,0,G51*(1-N11+N10))</f>
        <v>55406.338976956424</v>
      </c>
      <c r="I51" s="13">
        <f>IF(N12&lt;=I40,0,H51*(1-N11+N10))</f>
        <v>54409.024875371208</v>
      </c>
      <c r="J51" s="13">
        <f>IF(N12&lt;=J40,0,I51*(1-N11+N10))</f>
        <v>53429.662427614523</v>
      </c>
      <c r="K51" s="13">
        <f>IF(N12&lt;=K40,0,J51*(1-N11+N10))</f>
        <v>52467.928503917457</v>
      </c>
      <c r="L51" s="13">
        <f>IF(N12&lt;=L40,0,K51*(1-N11+N10))</f>
        <v>51523.505790846939</v>
      </c>
      <c r="M51" s="13">
        <f>IF(N12&lt;=M40,0,L51*(1-N11+N10))</f>
        <v>50596.082686611691</v>
      </c>
      <c r="N51" s="13">
        <f>IF(N12&lt;=N40,0,M51*(1-N11+N10))</f>
        <v>49685.353198252677</v>
      </c>
      <c r="O51" s="13">
        <f>IF(N12&lt;=O40,0,N51*(1-N11+N10))</f>
        <v>48791.016840684126</v>
      </c>
      <c r="P51" s="13">
        <f>IF(N12&lt;=U40,0,O51*(1-N11+N10))</f>
        <v>47912.778537551814</v>
      </c>
      <c r="Q51" s="13">
        <f>IF(N12&lt;=Q40,0,P51*(1-N11+N10))</f>
        <v>47050.34852387588</v>
      </c>
      <c r="R51" s="13">
        <f>IF(N12&lt;=R40,0,Q51*(1-N11+N10))</f>
        <v>46203.442250446111</v>
      </c>
      <c r="S51" s="13">
        <f>IF(N12&lt;=S40,0,R51*(1-N11+N10))</f>
        <v>45371.780289938077</v>
      </c>
      <c r="T51" s="13">
        <f>IF(N12&lt;=T40,0,S51*(1-N11+N10))</f>
        <v>44555.088244719191</v>
      </c>
      <c r="U51" s="13">
        <f>IF(N12&lt;=U40,0,T51*(1-N11+N10))</f>
        <v>43753.096656314243</v>
      </c>
      <c r="V51" s="13">
        <f>IF(N12&lt;=V40,0,U51*(1-N11+N10))</f>
        <v>42965.540916500584</v>
      </c>
      <c r="W51" s="13">
        <f>IF(N12&lt;=W40,0,V51*(1-N11+N10))</f>
        <v>42192.161180003575</v>
      </c>
      <c r="X51" s="13">
        <f>IF(N12&lt;=X40,0,W51*(1-N11+N10))</f>
        <v>41432.702278763507</v>
      </c>
      <c r="Y51" s="13">
        <f>IF(N12&lt;=Y40,0,X51*(1-N11+N10))</f>
        <v>40686.913637745762</v>
      </c>
      <c r="Z51" s="13">
        <f>IF(N12&lt;=Z40,0,Y51*(1-N11+N10))</f>
        <v>39954.549192266335</v>
      </c>
      <c r="AA51" s="13">
        <f>IF(N12&lt;=AA40,0,Z51*(1-N11+N10))</f>
        <v>39235.367306805543</v>
      </c>
      <c r="AB51" s="13">
        <f>IF(N12&lt;=AB40,0,AA51*(1-N11+N10))</f>
        <v>38529.130695283042</v>
      </c>
      <c r="AC51" s="13">
        <f>IF(N12&lt;=AC40,0,AB51*(1-N11+N10))</f>
        <v>37835.606342767947</v>
      </c>
      <c r="AD51" s="13">
        <f>IF(N12&lt;=AD40,0,AC51*(1-N11+N10))</f>
        <v>0</v>
      </c>
      <c r="AE51" s="13">
        <f>IF(N12&lt;=AE40,0,AD51*(1-N11+N10))</f>
        <v>0</v>
      </c>
      <c r="AF51" s="13">
        <f>IF(N12&lt;=AF40,0,AE51*(1-N11+N10))</f>
        <v>0</v>
      </c>
      <c r="AG51" s="13">
        <f>IF(N12&lt;=AG40,0,AF51*(1-N11+N10))</f>
        <v>0</v>
      </c>
      <c r="AH51" s="13">
        <f>IF(N12&lt;=AH40,0,AG51*(1-N11+N10))</f>
        <v>0</v>
      </c>
      <c r="AI51" s="13">
        <f>IF(N12&lt;=AI40,0,AH51*(1-N11+N10))</f>
        <v>0</v>
      </c>
      <c r="AJ51" s="13">
        <f>IF(N12&lt;=AJ40,0,AI51*(1-N11+N10))</f>
        <v>0</v>
      </c>
      <c r="AK51" s="13">
        <f>IF(N12&lt;=AK40,0,AJ51*(1-N11+N10))</f>
        <v>0</v>
      </c>
      <c r="AL51" s="13"/>
      <c r="AM51" s="13"/>
      <c r="AN51" s="13"/>
      <c r="AO51" s="13"/>
      <c r="AP51" s="13"/>
      <c r="AQ51" s="13"/>
      <c r="AR51" s="13"/>
    </row>
    <row r="52" spans="1:57" ht="15.75" customHeight="1" x14ac:dyDescent="0.2">
      <c r="A52" s="39">
        <v>17</v>
      </c>
      <c r="B52" s="40">
        <f>(A52*N7)</f>
        <v>0.54400000000000004</v>
      </c>
      <c r="C52" s="41">
        <f>(((LARGE(K19:T19,1))+(LARGE(K19:T19,2))+(LARGE(K19:T19,3)))/3)*(B52)</f>
        <v>54026.453333333331</v>
      </c>
      <c r="D52" s="22">
        <f>IF(N12&lt;=D40,0,C52)</f>
        <v>54026.453333333331</v>
      </c>
      <c r="E52" s="13">
        <f>IF(N12&lt;=E40,0,D52*(1-N11+N10))</f>
        <v>53053.977173333333</v>
      </c>
      <c r="F52" s="13">
        <f>IF(N12&lt;=F40,0,E52*(1-N11+N10))</f>
        <v>52099.00558421333</v>
      </c>
      <c r="G52" s="13">
        <f>IF(N12&lt;=G40,0,F52*(1-N11+N10))</f>
        <v>51161.223483697489</v>
      </c>
      <c r="H52" s="13">
        <f>IF(N12&lt;=H40,0,G52*(1-N11+N10))</f>
        <v>50240.321460990934</v>
      </c>
      <c r="I52" s="13">
        <f>IF(N12&lt;=I40,0,H52*(1-N11+N10))</f>
        <v>49335.995674693098</v>
      </c>
      <c r="J52" s="13">
        <f>IF(N12&lt;=J40,0,I52*(1-N11+N10))</f>
        <v>48447.947752548622</v>
      </c>
      <c r="K52" s="13">
        <f>IF(N12&lt;=K40,0,J52*(1-N11+N10))</f>
        <v>47575.884693002743</v>
      </c>
      <c r="L52" s="13">
        <f>IF(N12&lt;=L40,0,K52*(1-N11+N10))</f>
        <v>46719.518768528695</v>
      </c>
      <c r="M52" s="13">
        <f>IF(N12&lt;=M40,0,L52*(1-N11+N10))</f>
        <v>45878.567430695177</v>
      </c>
      <c r="N52" s="13">
        <f>IF(N12&lt;=N40,0,M52*(1-N11+N10))</f>
        <v>45052.753216942663</v>
      </c>
      <c r="O52" s="13">
        <f>IF(N12&lt;=O40,0,N52*(1-N11+N10))</f>
        <v>44241.803659037694</v>
      </c>
      <c r="P52" s="13">
        <f>IF(N12&lt;=P40,0,O52*(1-N11+N10))</f>
        <v>43445.451193175017</v>
      </c>
      <c r="Q52" s="13">
        <f>IF(N12&lt;=Q40,0,P52*(1-N11+N10))</f>
        <v>42663.433071697866</v>
      </c>
      <c r="R52" s="13">
        <f>IF(N12&lt;=R40,0,Q52*(1-N11+N10))</f>
        <v>41895.491276407301</v>
      </c>
      <c r="S52" s="13">
        <f>IF(N12&lt;=S40,0,R52*(1-N11+N10))</f>
        <v>41141.37243343197</v>
      </c>
      <c r="T52" s="13">
        <f>IF(N12&lt;=T40,0,S52*(1-N11+N10))</f>
        <v>40400.827729630197</v>
      </c>
      <c r="U52" s="13">
        <f>IF(N12&lt;=U40,0,T52*(1-N11+N10))</f>
        <v>39673.612830496852</v>
      </c>
      <c r="V52" s="13">
        <f>IF(N12&lt;=V40,0,U52*(1-N11+N10))</f>
        <v>38959.487799547911</v>
      </c>
      <c r="W52" s="13">
        <f>IF(N12&lt;=W40,0,V52*(1-N11+N10))</f>
        <v>38258.217019156051</v>
      </c>
      <c r="X52" s="13">
        <f>IF(N12&lt;=X40,0,W52*(1-N11+N10))</f>
        <v>37569.569112811245</v>
      </c>
      <c r="Y52" s="13">
        <f>IF(N12&lt;=Y40,0,X52*(1-N11+N10))</f>
        <v>36893.316868780639</v>
      </c>
      <c r="Z52" s="13">
        <f>IF(N12&lt;=Z40,0,Y52*(1-N11+N10))</f>
        <v>36229.237165142586</v>
      </c>
      <c r="AA52" s="13">
        <f>IF(N12&lt;=AA40,0,Z52*(1-N11+N10))</f>
        <v>35577.110896170016</v>
      </c>
      <c r="AB52" s="13">
        <f>IF(N12&lt;=AB40,0,AA52*(1-N11+N10))</f>
        <v>34936.722900038956</v>
      </c>
      <c r="AC52" s="13">
        <f>IF(N12&lt;=AC40,0,AB52*(1-N11+N10))</f>
        <v>34307.861887838255</v>
      </c>
      <c r="AD52" s="13">
        <f>IF(N12&lt;=AD40,0,AC52*(1-N11+N10))</f>
        <v>0</v>
      </c>
      <c r="AE52" s="13">
        <f>IF(N12&lt;=AE40,0,AD52*(1-N11+N10))</f>
        <v>0</v>
      </c>
      <c r="AF52" s="13">
        <f>IF(N12&lt;=AF40,0,AE52*(1-N11+N10))</f>
        <v>0</v>
      </c>
      <c r="AG52" s="13">
        <f>IF(N12&lt;=AG40,0,AF52*(1-N11+N10))</f>
        <v>0</v>
      </c>
      <c r="AH52" s="13">
        <f>IF(N12&lt;=AH40,0,AG52*(1-N11+N10))</f>
        <v>0</v>
      </c>
      <c r="AI52" s="13">
        <f>IF(N12&lt;=AI40,0,AH52*(1-N11+N10))</f>
        <v>0</v>
      </c>
      <c r="AJ52" s="13">
        <f>IF(N12&lt;=AJ40,0,AI52*(1-N11+N10))</f>
        <v>0</v>
      </c>
      <c r="AK52" s="13">
        <f>IF(N12&lt;=AK40,0,AJ52*(1-N11+N10))</f>
        <v>0</v>
      </c>
      <c r="AL52" s="13"/>
      <c r="AM52" s="13"/>
      <c r="AN52" s="13"/>
      <c r="AO52" s="13"/>
      <c r="AP52" s="13"/>
      <c r="AQ52" s="13"/>
      <c r="AR52" s="13"/>
    </row>
    <row r="53" spans="1:57" ht="15.75" customHeight="1" x14ac:dyDescent="0.2">
      <c r="A53" s="39">
        <v>16</v>
      </c>
      <c r="B53" s="40">
        <f>(A53*N7)</f>
        <v>0.51200000000000001</v>
      </c>
      <c r="C53" s="41">
        <f>(((LARGE(J19:S19,1))+(LARGE(J19:S19,2))+(LARGE(J19:S19,3)))/3)*(B53)</f>
        <v>48605.354666666666</v>
      </c>
      <c r="D53" s="21">
        <f t="array" ref="D53">IF(N12&lt;=D40,0,NPV((N11-N10),0,C53))</f>
        <v>46901.697409947723</v>
      </c>
      <c r="E53" s="13">
        <f>IF(N12&lt;=E40,0,D53*(1-N11+N10))</f>
        <v>46057.466856568666</v>
      </c>
      <c r="F53" s="13">
        <f>IF(N12&lt;=F40,0,E53*(1-N11+N10))</f>
        <v>45228.432453150432</v>
      </c>
      <c r="G53" s="13">
        <f>IF(N12&lt;=G40,0,F53*(1-N11+N10))</f>
        <v>44414.320668993721</v>
      </c>
      <c r="H53" s="13">
        <f>IF(N12&lt;=H40,0,G53*(1-N11+N10))</f>
        <v>43614.862896951832</v>
      </c>
      <c r="I53" s="13">
        <f>IF(N12&lt;=I40,0,H53*(1-N11+N10))</f>
        <v>42829.795364806698</v>
      </c>
      <c r="J53" s="13">
        <f>IF(N12&lt;=J40,0,I53*(1-N11+N10))</f>
        <v>42058.859048240178</v>
      </c>
      <c r="K53" s="13">
        <f>IF(N12&lt;=K40,0,J53*(1-N11+N10))</f>
        <v>41301.799585371853</v>
      </c>
      <c r="L53" s="13">
        <f>IF(N12&lt;=L40,0,K53*(1-N11+N10))</f>
        <v>40558.367192835161</v>
      </c>
      <c r="M53" s="13">
        <f>IF(N12&lt;=M40,0,L53*(1-N11+N10))</f>
        <v>39828.316583364125</v>
      </c>
      <c r="N53" s="13">
        <f>IF(N12&lt;=N40,0,M53*(1-N11+N10))</f>
        <v>39111.406884863572</v>
      </c>
      <c r="O53" s="13">
        <f>IF(N12&lt;=O40,0,N53*(1-N11+N10))</f>
        <v>38407.401560936029</v>
      </c>
      <c r="P53" s="13">
        <f>IF(N12&lt;=P40,0,O53*(1-N11+N10))</f>
        <v>37716.068332839182</v>
      </c>
      <c r="Q53" s="13">
        <f>IF(N12&lt;=Q40,0,P53*(1-N11+N10))</f>
        <v>37037.179102848073</v>
      </c>
      <c r="R53" s="13">
        <f>IF(N12&lt;=R40,0,Q53*(1-N11+N10))</f>
        <v>36370.509878996811</v>
      </c>
      <c r="S53" s="13">
        <f>IF(N12&lt;=S40,0,R53*(1-N11+N10))</f>
        <v>35715.840701174864</v>
      </c>
      <c r="T53" s="13">
        <f>IF(N12&lt;=T40,0,S53*(1-N11+N10))</f>
        <v>35072.955568553713</v>
      </c>
      <c r="U53" s="13">
        <f>IF(N12&lt;=U40,0,T53*(1-N11+N10))</f>
        <v>34441.642368319743</v>
      </c>
      <c r="V53" s="13">
        <f>IF(N12&lt;=V40,0,U53*(1-N11+N10))</f>
        <v>33821.692805689985</v>
      </c>
      <c r="W53" s="13">
        <f>IF(N12&lt;=W40,0,V53*(1-N11+N10))</f>
        <v>33212.902335187566</v>
      </c>
      <c r="X53" s="13">
        <f>IF(N12&lt;=X40,0,W53*(1-N11+N10))</f>
        <v>32615.070093154191</v>
      </c>
      <c r="Y53" s="13">
        <f>IF(N12&lt;=Y40,0,X53*(1-N11+N10))</f>
        <v>32027.998831477416</v>
      </c>
      <c r="Z53" s="13">
        <f>IF(N12&lt;=Z40,0,Y53*(1-N11+N10))</f>
        <v>31451.494852510823</v>
      </c>
      <c r="AA53" s="13">
        <f>IF(N12&lt;=AA40,0,Z53*(1-N11+N10))</f>
        <v>30885.367945165628</v>
      </c>
      <c r="AB53" s="13">
        <f>IF(N12&lt;=AB40,0,AA53*(1-N11+N10))</f>
        <v>30329.431322152646</v>
      </c>
      <c r="AC53" s="13">
        <f>IF(N12&lt;=AC40,0,AB53*(1-N11+N10))</f>
        <v>29783.501558353899</v>
      </c>
      <c r="AD53" s="13">
        <f>IF(N12&lt;=AD40,0,AC53*(1-N11+N10))</f>
        <v>0</v>
      </c>
      <c r="AE53" s="13">
        <f>IF(N12&lt;=AE40,0,AD53*(1-N11+N10))</f>
        <v>0</v>
      </c>
      <c r="AF53" s="13">
        <f>IF(N12&lt;=AF40,0,AE53*(1-N11+N10))</f>
        <v>0</v>
      </c>
      <c r="AG53" s="13">
        <f>IF(N12&lt;=AG40,0,AF53*(1-N11+N10))</f>
        <v>0</v>
      </c>
      <c r="AH53" s="13">
        <f>IF(N12&lt;=AH40,0,AG53*(1-N11+N10))</f>
        <v>0</v>
      </c>
      <c r="AI53" s="13">
        <f>IF(N12&lt;=AI40,0,AH53*(1-N11+N10))</f>
        <v>0</v>
      </c>
      <c r="AJ53" s="13">
        <f>IF(N12&lt;=AJ40,0,AI53*(1-N11+N10))</f>
        <v>0</v>
      </c>
      <c r="AK53" s="13">
        <f>IF(N12&lt;=AK40,0,AJ53*(1-N11+N10))</f>
        <v>0</v>
      </c>
      <c r="AL53" s="13"/>
      <c r="AM53" s="13"/>
      <c r="AN53" s="13"/>
      <c r="AO53" s="13"/>
      <c r="AP53" s="13"/>
      <c r="AQ53" s="13"/>
      <c r="AR53" s="13"/>
    </row>
    <row r="54" spans="1:57" ht="15.75" customHeight="1" x14ac:dyDescent="0.2">
      <c r="A54" s="39">
        <v>15</v>
      </c>
      <c r="B54" s="40">
        <f>(A54*N7)</f>
        <v>0.48</v>
      </c>
      <c r="C54" s="41">
        <f>(((LARGE(I19:R19,1))+(LARGE(I19:R19,2))+(LARGE(I19:R19,3)))/3)*(B54)</f>
        <v>43353.599999999999</v>
      </c>
      <c r="D54" s="21">
        <f t="array" ref="D54">IF(N12&lt;=D40,0,NPV((N11-N10),0,0,C54))</f>
        <v>41094.32320280261</v>
      </c>
      <c r="E54" s="13">
        <f>IF(N12&lt;=E40,0,D54*(1-N11+N10))</f>
        <v>40354.625385152161</v>
      </c>
      <c r="F54" s="13">
        <f>IF(N12&lt;=F40,0,E54*(1-N11+N10))</f>
        <v>39628.242128219419</v>
      </c>
      <c r="G54" s="13">
        <f>IF(N12&lt;=G40,0,F54*(1-N11+N10))</f>
        <v>38914.933769911469</v>
      </c>
      <c r="H54" s="13">
        <f>IF(N12&lt;=H40,0,G54*(1-N11+N10))</f>
        <v>38214.464962053062</v>
      </c>
      <c r="I54" s="13">
        <f>IF(N12&lt;=I40,0,H54*(1-N11+N10))</f>
        <v>37526.604592736105</v>
      </c>
      <c r="J54" s="13">
        <f>IF(N12&lt;=J40,0,I54*(1-N11+N10))</f>
        <v>36851.125710066852</v>
      </c>
      <c r="K54" s="13">
        <f>IF(N12&lt;=K40,0,J54*(1-N11+N10))</f>
        <v>36187.805447285646</v>
      </c>
      <c r="L54" s="13">
        <f>IF(N12&lt;=L40,0,K54*(1-N11+N10))</f>
        <v>35536.424949234504</v>
      </c>
      <c r="M54" s="13">
        <f>IF(N12&lt;=M40,0,L54*(1-N11+N10))</f>
        <v>34896.769300148284</v>
      </c>
      <c r="N54" s="13">
        <f>IF(N12&lt;=N40,0,M54*(1-N11+N10))</f>
        <v>34268.627452745612</v>
      </c>
      <c r="O54" s="13">
        <f>IF(N12&lt;=O40,0,N54*(1-N11+N10))</f>
        <v>33651.792158596189</v>
      </c>
      <c r="P54" s="13">
        <f>IF(N12&lt;=P40,0,O54*(1-N11+N10))</f>
        <v>33046.059899741456</v>
      </c>
      <c r="Q54" s="13">
        <f>IF(N12&lt;=Q40,0,P54*(1-N11+N10))</f>
        <v>32451.230821546109</v>
      </c>
      <c r="R54" s="13">
        <f>IF(N12&lt;=R40,0,Q54*(1-N11+N10))</f>
        <v>31867.108666758279</v>
      </c>
      <c r="S54" s="13">
        <f>IF(N12&lt;=S40,0,R54*(1-N11+N10))</f>
        <v>31293.500710756631</v>
      </c>
      <c r="T54" s="13">
        <f>IF(N12&lt;=T40,0,S54*(1-N11+N10))</f>
        <v>30730.217697963009</v>
      </c>
      <c r="U54" s="13">
        <f>IF(N12&lt;=U40,0,T54*(1-N11+N10))</f>
        <v>30177.073779399674</v>
      </c>
      <c r="V54" s="13">
        <f>IF(N12&lt;=V40,0,U54*(1-N11+N10))</f>
        <v>29633.886451370479</v>
      </c>
      <c r="W54" s="13">
        <f>IF(N12&lt;=W40,0,V54*(1-N11+N10))</f>
        <v>29100.47649524581</v>
      </c>
      <c r="X54" s="13">
        <f>IF(N12&lt;=X40,0,W54*(1-N11+N10))</f>
        <v>28576.667918331386</v>
      </c>
      <c r="Y54" s="13">
        <f>IF(N12&lt;=Y40,0,X54*(1-N11+N10))</f>
        <v>28062.287895801423</v>
      </c>
      <c r="Z54" s="13">
        <f>IF(N12&lt;=Z40,0,Y54*(1-N11+N10))</f>
        <v>27557.166713676997</v>
      </c>
      <c r="AA54" s="13">
        <f>IF(N12&lt;=AA40,0,Z54*(1-N11+N10))</f>
        <v>27061.137712830812</v>
      </c>
      <c r="AB54" s="13">
        <f>IF(N12&lt;=AB40,0,AA54*(1-N11+N10))</f>
        <v>26574.037233999858</v>
      </c>
      <c r="AC54" s="13">
        <f>IF(N12&lt;=AC40,0,AB54*(1-N11+N10))</f>
        <v>26095.704563787858</v>
      </c>
      <c r="AD54" s="13">
        <f>IF(N12&lt;=AD40,0,AC54*(1-N11+N10))</f>
        <v>0</v>
      </c>
      <c r="AE54" s="13">
        <f>IF(N12&lt;=AE40,0,AD54*(1-N11+N10))</f>
        <v>0</v>
      </c>
      <c r="AF54" s="13">
        <f>IF(N12&lt;=AF40,0,AE54*(1-N11+N10))</f>
        <v>0</v>
      </c>
      <c r="AG54" s="13">
        <f>IF(N12&lt;=AG40,0,AF54*(1-N11+N10))</f>
        <v>0</v>
      </c>
      <c r="AH54" s="13">
        <f>IF(N12&lt;=AH40,0,AG54*(1-N11+N10))</f>
        <v>0</v>
      </c>
      <c r="AI54" s="13">
        <f>IF(N12&lt;=AI40,0,AH54*(1-N11+N10))</f>
        <v>0</v>
      </c>
      <c r="AJ54" s="13">
        <f>IF(N12&lt;=AJ40,0,AI54*(1-N11+N10))</f>
        <v>0</v>
      </c>
      <c r="AK54" s="13">
        <f>IF(N12&lt;=AK40,0,AJ54*(1-N11+N10))</f>
        <v>0</v>
      </c>
      <c r="AL54" s="13"/>
      <c r="AM54" s="13"/>
      <c r="AN54" s="13"/>
      <c r="AO54" s="13"/>
      <c r="AP54" s="13"/>
      <c r="AQ54" s="13"/>
      <c r="AR54" s="13"/>
    </row>
    <row r="55" spans="1:57" ht="15.75" customHeight="1" x14ac:dyDescent="0.2">
      <c r="A55" s="39">
        <v>14</v>
      </c>
      <c r="B55" s="40">
        <f>(A55*N7)</f>
        <v>0.44800000000000001</v>
      </c>
      <c r="C55" s="41">
        <f>(((LARGE(H19:Q19,1))+(LARGE(H19:Q19,2))+(LARGE(H19:Q19,3)))/3)*(B55)</f>
        <v>38397.034666666666</v>
      </c>
      <c r="D55" s="21">
        <f t="array" ref="D55">IF(N12&lt;=D40,0,NPV((N11-N10),0,0,0,C55))</f>
        <v>35752.513053647432</v>
      </c>
      <c r="E55" s="13">
        <f>IF(N12&lt;=E40,0,D55*(1-N11+N10))</f>
        <v>35108.967818681776</v>
      </c>
      <c r="F55" s="13">
        <f>IF(N12&lt;=F40,0,E55*(1-N11+N10))</f>
        <v>34477.006397945501</v>
      </c>
      <c r="G55" s="13">
        <f>IF(N12&lt;=G40,0,F55*(1-N11+N10))</f>
        <v>33856.420282782485</v>
      </c>
      <c r="H55" s="13">
        <f>IF(N12&lt;=H40,0,G55*(1-N11+N10))</f>
        <v>33247.004717692398</v>
      </c>
      <c r="I55" s="13">
        <f>IF(N12&lt;=I40,0,H55*(1-N11+N10))</f>
        <v>32648.558632773933</v>
      </c>
      <c r="J55" s="13">
        <f>IF(N12&lt;=J40,0,I55*(1-N11+N10))</f>
        <v>32060.884577384</v>
      </c>
      <c r="K55" s="13">
        <f>IF(N12&lt;=K40,0,J55*(1-N11+N10))</f>
        <v>31483.788654991087</v>
      </c>
      <c r="L55" s="13">
        <f>IF(N12&lt;=L40,0,K55*(1-N11+N10))</f>
        <v>30917.080459201246</v>
      </c>
      <c r="M55" s="13">
        <f>IF(N12&lt;=M40,0,L55*(1-N11+N10))</f>
        <v>30360.573010935623</v>
      </c>
      <c r="N55" s="13">
        <f>IF(N12&lt;=N40,0,M55*(1-N11+N10))</f>
        <v>29814.08269673878</v>
      </c>
      <c r="O55" s="13">
        <f>IF(N12&lt;=O40,0,N55*(1-N11+N10))</f>
        <v>29277.429208197482</v>
      </c>
      <c r="P55" s="13">
        <f>IF(N12&lt;=P40,0,O55*(1-N11+N10))</f>
        <v>28750.435482449928</v>
      </c>
      <c r="Q55" s="13">
        <f>IF(N12&lt;=Q40,0,P55*(1-N11+N10))</f>
        <v>28232.92764376583</v>
      </c>
      <c r="R55" s="13">
        <f>IF(N12&lt;=R40,0,Q55*(1-N11+N10))</f>
        <v>27724.734946178043</v>
      </c>
      <c r="S55" s="13">
        <f>IF(N12&lt;=S40,0,R55*(1-N11+N10))</f>
        <v>27225.689717146837</v>
      </c>
      <c r="T55" s="13">
        <f>IF(N12&lt;=T40,0,S55*(1-N11+N10))</f>
        <v>26735.627302238194</v>
      </c>
      <c r="U55" s="13">
        <f>IF(N12&lt;=U40,0,T55*(1-N11+N10))</f>
        <v>26254.386010797905</v>
      </c>
      <c r="V55" s="13">
        <f>IF(N12&lt;=V40,0,U55*(1-N11+N10))</f>
        <v>25781.807062603544</v>
      </c>
      <c r="W55" s="13">
        <f>IF(N12&lt;=W40,0,V55*(1-N11+N10))</f>
        <v>25317.73453547668</v>
      </c>
      <c r="X55" s="13">
        <f>IF(N12&lt;=X40,0,W55*(1-N11+N10))</f>
        <v>24862.015313838099</v>
      </c>
      <c r="Y55" s="13">
        <f>IF(N12&lt;=Y40,0,X55*(1-N11+N10))</f>
        <v>24414.499038189013</v>
      </c>
      <c r="Z55" s="13">
        <f>IF(N12&lt;=Z40,0,Y55*(1-N11+N10))</f>
        <v>23975.038055501609</v>
      </c>
      <c r="AA55" s="13">
        <f>IF(N12&lt;=AA40,0,Z55*(1-N11+N10))</f>
        <v>23543.487370502578</v>
      </c>
      <c r="AB55" s="13">
        <f>IF(N12&lt;=AB40,0,AA55*(1-N11+N10))</f>
        <v>23119.70459783353</v>
      </c>
      <c r="AC55" s="13">
        <f>IF(N12&lt;=AC40,0,AB55*(1-N11+N10))</f>
        <v>22703.549915072526</v>
      </c>
      <c r="AD55" s="13">
        <f>IF(N12&lt;=AD40,0,AC55*(1-N11+N10))</f>
        <v>0</v>
      </c>
      <c r="AE55" s="13">
        <f>IF(N12&lt;=AE40,0,AD55*(1-N11+N10))</f>
        <v>0</v>
      </c>
      <c r="AF55" s="13">
        <f>IF(N12&lt;=AF40,0,AE55*(1-N11+N10))</f>
        <v>0</v>
      </c>
      <c r="AG55" s="13">
        <f>IF(N12&lt;=AG40,0,AF55*(1-N11+N10))</f>
        <v>0</v>
      </c>
      <c r="AH55" s="13">
        <f>IF(N12&lt;=AH40,0,AG55*(1-N11+N10))</f>
        <v>0</v>
      </c>
      <c r="AI55" s="13">
        <f>IF(N12&lt;=AI40,0,AH55*(1-N11+N10))</f>
        <v>0</v>
      </c>
      <c r="AJ55" s="13">
        <f>IF(N12&lt;=AJ40,0,AI55*(1-N11+N10))</f>
        <v>0</v>
      </c>
      <c r="AK55" s="13">
        <f>IF(N12&lt;=AK40,0,AJ55*(1-N11+N10))</f>
        <v>0</v>
      </c>
      <c r="AL55" s="13"/>
      <c r="AM55" s="13"/>
      <c r="AN55" s="13"/>
      <c r="AO55" s="13"/>
      <c r="AP55" s="13"/>
      <c r="AQ55" s="13"/>
      <c r="AR55" s="13"/>
    </row>
    <row r="56" spans="1:57" ht="15.75" customHeight="1" x14ac:dyDescent="0.2">
      <c r="A56" s="39">
        <v>13</v>
      </c>
      <c r="B56" s="40">
        <f>(A56*N7)</f>
        <v>0.41600000000000004</v>
      </c>
      <c r="C56" s="41">
        <f>(((LARGE(G19:P19,1))+(LARGE(G19:P19,2))+(LARGE(G19:P19,3)))/3)*(B56)</f>
        <v>34615.776000000005</v>
      </c>
      <c r="D56" s="21">
        <f t="array" ref="D56">IF(N12&lt;=D40,0,NPV((N11-N10),0,0,0,0,C56))</f>
        <v>31661.76942588131</v>
      </c>
      <c r="E56" s="13">
        <f>IF(N12&lt;=E40,0,D56*(1-N11+N10))</f>
        <v>31091.857576215447</v>
      </c>
      <c r="F56" s="13">
        <f>IF(N12&lt;=F40,0,E56*(1-N11+N10))</f>
        <v>30532.204139843569</v>
      </c>
      <c r="G56" s="13">
        <f>IF(N12&lt;=G40,0,F56*(1-N11+N10))</f>
        <v>29982.624465326382</v>
      </c>
      <c r="H56" s="13">
        <f>IF(N12&lt;=H40,0,G56*(1-N11+N10))</f>
        <v>29442.937224950507</v>
      </c>
      <c r="I56" s="13">
        <f>IF(N12&lt;=I40,0,H56*(1-N11+N10))</f>
        <v>28912.964354901396</v>
      </c>
      <c r="J56" s="13">
        <f>IF(N12&lt;=J40,0,I56*(1-N11+N10))</f>
        <v>28392.530996513171</v>
      </c>
      <c r="K56" s="13">
        <f>IF(N12&lt;=K40,0,J56*(1-N11+N10))</f>
        <v>27881.465438575935</v>
      </c>
      <c r="L56" s="13">
        <f>IF(N12&lt;=L40,0,K56*(1-N11+N10))</f>
        <v>27379.599060681569</v>
      </c>
      <c r="M56" s="13">
        <f>IF(N12&lt;=M40,0,L56*(1-N11+N10))</f>
        <v>26886.7662775893</v>
      </c>
      <c r="N56" s="13">
        <f>IF(N12&lt;=N40,0,M56*(1-N11+N10))</f>
        <v>26402.804484592692</v>
      </c>
      <c r="O56" s="13">
        <f>IF(N12&lt;=O40,0,N56*(1-N11+N10))</f>
        <v>25927.554003870024</v>
      </c>
      <c r="P56" s="13">
        <f>IF(N12&lt;=P40,0,O56*(1-N11+N10))</f>
        <v>25460.858031800362</v>
      </c>
      <c r="Q56" s="13">
        <f>IF(N12&lt;=Q40,0,P56*(1-N11+N10))</f>
        <v>25002.562587227956</v>
      </c>
      <c r="R56" s="13">
        <f>IF(N12&lt;=R40,0,Q56*(1-N11+N10))</f>
        <v>24552.516460657851</v>
      </c>
      <c r="S56" s="13">
        <f>IF(N12&lt;=S40,0,R56*(1-N11+N10))</f>
        <v>24110.571164366011</v>
      </c>
      <c r="T56" s="13">
        <f>IF(N12&lt;=T40,0,S56*(1-N11+N10))</f>
        <v>23676.580883407423</v>
      </c>
      <c r="U56" s="13">
        <f>IF(N12&lt;=U40,0,T56*(1-N11+N10))</f>
        <v>23250.402427506091</v>
      </c>
      <c r="V56" s="13">
        <f>IF(N12&lt;=V40,0,U56*(1-N11+N10))</f>
        <v>22831.895183810982</v>
      </c>
      <c r="W56" s="13">
        <f>IF(N12&lt;=W40,0,V56*(1-N11+N10))</f>
        <v>22420.921070502383</v>
      </c>
      <c r="X56" s="13">
        <f>IF(N12&lt;=X40,0,W56*(1-N11+N10))</f>
        <v>22017.34449123334</v>
      </c>
      <c r="Y56" s="13">
        <f>IF(N12&lt;=Y40,0,X56*(1-N11+N10))</f>
        <v>21621.03229039114</v>
      </c>
      <c r="Z56" s="13">
        <f>IF(N12&lt;=Z40,0,Y56*(1-N11+N10))</f>
        <v>21231.853709164101</v>
      </c>
      <c r="AA56" s="13">
        <f>IF(N12&lt;=AA40,0,Z56*(1-N11+N10))</f>
        <v>20849.680342399148</v>
      </c>
      <c r="AB56" s="13">
        <f>IF(N12&lt;=AB40,0,AA56*(1-N11+N10))</f>
        <v>20474.386096235961</v>
      </c>
      <c r="AC56" s="13">
        <f>IF(N12&lt;=AC40,0,AB56*(1-N11+N10))</f>
        <v>20105.847146503715</v>
      </c>
      <c r="AD56" s="13">
        <f>IF(N12&lt;=AD40,0,AC56*(1-N11+N10))</f>
        <v>0</v>
      </c>
      <c r="AE56" s="13">
        <f>IF(N12&lt;=AE40,0,AD56*(1-N11+N10))</f>
        <v>0</v>
      </c>
      <c r="AF56" s="13">
        <f>IF(N12&lt;=AF40,0,AE56*(1-N11+N10))</f>
        <v>0</v>
      </c>
      <c r="AG56" s="13">
        <f>IF(N12&lt;=AG40,0,AF56*(1-N11+N10))</f>
        <v>0</v>
      </c>
      <c r="AH56" s="13">
        <f>IF(N12&lt;=AH40,0,AG56*(1-N11+N10))</f>
        <v>0</v>
      </c>
      <c r="AI56" s="13">
        <f>IF(N12&lt;=AI40,0,AH56*(1-N11+N10))</f>
        <v>0</v>
      </c>
      <c r="AJ56" s="13">
        <f>IF(N12&lt;=AJ40,0,AI56*(1-N11+N10))</f>
        <v>0</v>
      </c>
      <c r="AK56" s="13">
        <f>IF(N12&lt;=AK40,0,AJ56*(1-N11+N10))</f>
        <v>0</v>
      </c>
      <c r="AL56" s="13"/>
      <c r="AM56" s="13"/>
      <c r="AN56" s="13"/>
      <c r="AO56" s="13"/>
      <c r="AP56" s="13"/>
      <c r="AQ56" s="13"/>
      <c r="AR56" s="13"/>
    </row>
    <row r="57" spans="1:57" ht="15.75" customHeight="1" x14ac:dyDescent="0.2">
      <c r="A57" s="39">
        <v>12</v>
      </c>
      <c r="B57" s="40">
        <f>(A57*N7)</f>
        <v>0.38400000000000001</v>
      </c>
      <c r="C57" s="41">
        <f>(((LARGE(F19:O19,1))+(LARGE(F19:O19,2))+(LARGE(F19:O19,3)))/3)*(B57)</f>
        <v>31256.064000000002</v>
      </c>
      <c r="D57" s="21">
        <f t="array" ref="D57">IF(N12&lt;=D40,0,NPV((N11-N10),0,0,0,0,0,C57))</f>
        <v>28083.266383397586</v>
      </c>
      <c r="E57" s="13">
        <f>IF(N12&lt;=E40,0,D57*(1-N11+N10))</f>
        <v>27577.76758849643</v>
      </c>
      <c r="F57" s="13">
        <f>IF(N12&lt;=F40,0,E57*(1-N11+N10))</f>
        <v>27081.367771903493</v>
      </c>
      <c r="G57" s="13">
        <f>IF(N12&lt;=G40,0,F57*(1-N11+N10))</f>
        <v>26593.903152009229</v>
      </c>
      <c r="H57" s="13">
        <f>IF(N12&lt;=H40,0,G57*(1-N11+N10))</f>
        <v>26115.212895273064</v>
      </c>
      <c r="I57" s="13">
        <f>IF(N12&lt;=I40,0,H57*(1-N11+N10))</f>
        <v>25645.139063158149</v>
      </c>
      <c r="J57" s="13">
        <f>IF(N12&lt;=J40,0,I57*(1-N11+N10))</f>
        <v>25183.526560021302</v>
      </c>
      <c r="K57" s="13">
        <f>IF(N12&lt;=K40,0,J57*(1-N11+N10))</f>
        <v>24730.22308194092</v>
      </c>
      <c r="L57" s="13">
        <f>IF(N12&lt;=L40,0,K57*(1-N11+N10))</f>
        <v>24285.079066465983</v>
      </c>
      <c r="M57" s="13">
        <f>IF(N12&lt;=M40,0,L57*(1-N11+N10))</f>
        <v>23847.947643269596</v>
      </c>
      <c r="N57" s="13">
        <f>IF(N12&lt;=N40,0,M57*(1-N11+N10))</f>
        <v>23418.684585690742</v>
      </c>
      <c r="O57" s="13">
        <f>IF(N12&lt;=O40,0,N57*(1-N11+N10))</f>
        <v>22997.148263148309</v>
      </c>
      <c r="P57" s="13">
        <f>IF(N12&lt;=P40,0,O57*(1-N11+N10))</f>
        <v>22583.199594411639</v>
      </c>
      <c r="Q57" s="13">
        <f>IF(N12&lt;=Q40,0,P57*(1-N11+N10))</f>
        <v>22176.70200171223</v>
      </c>
      <c r="R57" s="13">
        <f>IF(N12&lt;=R40,0,Q57*(1-N11+N10))</f>
        <v>21777.521365681408</v>
      </c>
      <c r="S57" s="13">
        <f>IF(N12&lt;=S40,0,R57*(1-N11+N10))</f>
        <v>21385.525981099141</v>
      </c>
      <c r="T57" s="13">
        <f>IF(N12&lt;=T40,0,S57*(1-N11+N10))</f>
        <v>21000.586513439357</v>
      </c>
      <c r="U57" s="13">
        <f>IF(N12&lt;=U40,0,T57*(1-N11+N10))</f>
        <v>20622.575956197448</v>
      </c>
      <c r="V57" s="13">
        <f>IF(N12&lt;=V40,0,U57*(1-N11+N10))</f>
        <v>20251.369588985894</v>
      </c>
      <c r="W57" s="13">
        <f>IF(N12&lt;=W40,0,V57*(1-N11+N10))</f>
        <v>19886.844936384146</v>
      </c>
      <c r="X57" s="13">
        <f>IF(N12&lt;=X40,0,W57*(1-N11+N10))</f>
        <v>19528.881727529231</v>
      </c>
      <c r="Y57" s="13">
        <f>IF(N12&lt;=Y40,0,X57*(1-N11+N10))</f>
        <v>19177.361856433705</v>
      </c>
      <c r="Z57" s="13">
        <f>IF(N12&lt;=Z40,0,Y57*(1-N11+N10))</f>
        <v>18832.169343017897</v>
      </c>
      <c r="AA57" s="13">
        <f>IF(N12&lt;=AA40,0,Z57*(1-N11+N10))</f>
        <v>18493.190294843575</v>
      </c>
      <c r="AB57" s="13">
        <f>IF(N12&lt;=AB40,0,AA57*(1-N11+N10))</f>
        <v>18160.312869536388</v>
      </c>
      <c r="AC57" s="13">
        <f>IF(N12&lt;=AC40,0,AB57*(1-N11+N10))</f>
        <v>17833.427237884734</v>
      </c>
      <c r="AD57" s="13">
        <f>IF(N12&lt;=AD40,0,AC57*(1-N11+N10))</f>
        <v>0</v>
      </c>
      <c r="AE57" s="13">
        <f>IF(N12&lt;=AE40,0,AD57*(1-N11+N10))</f>
        <v>0</v>
      </c>
      <c r="AF57" s="13">
        <f>IF(N12&lt;=AF40,0,AE57*(1-N11+N10))</f>
        <v>0</v>
      </c>
      <c r="AG57" s="13">
        <f>IF(N12&lt;=AG40,0,AF57*(1-N11+N10))</f>
        <v>0</v>
      </c>
      <c r="AH57" s="13">
        <f>IF(N12&lt;=AH40,0,IF(N12&lt;=AH40,0,AG57*(1-N11+N10)))</f>
        <v>0</v>
      </c>
      <c r="AI57" s="13">
        <f>IF(N12&lt;=AI40,0,AH57*(1-N11+N10))</f>
        <v>0</v>
      </c>
      <c r="AJ57" s="13">
        <f>IF(N12&lt;=AJ40,0,AI57*(1-N11+N10))</f>
        <v>0</v>
      </c>
      <c r="AK57" s="13">
        <f>IF(N12&lt;=AK40,0,AJ57*(1-N11+N10))</f>
        <v>0</v>
      </c>
      <c r="AL57" s="13"/>
      <c r="AM57" s="13"/>
      <c r="AN57" s="13"/>
      <c r="AO57" s="13"/>
      <c r="AP57" s="13"/>
      <c r="AQ57" s="13"/>
      <c r="AR57" s="13"/>
    </row>
    <row r="58" spans="1:57" ht="15.75" customHeight="1" x14ac:dyDescent="0.2">
      <c r="A58" s="39">
        <v>11</v>
      </c>
      <c r="B58" s="40">
        <f>(A58*N7)</f>
        <v>0.35199999999999998</v>
      </c>
      <c r="C58" s="41">
        <f>(((LARGE(E19:N19,1))+(LARGE(E19:N19,2))+(LARGE(E19:N19,3)))/3)*(B58)</f>
        <v>28012.511999999999</v>
      </c>
      <c r="D58" s="21">
        <f t="array" ref="D58">IF(N12&lt;=D40,0,NPV((N11-N10),0,0,0,0,0,0,C58))</f>
        <v>24723.935935545873</v>
      </c>
      <c r="E58" s="13">
        <f>IF(N12&lt;=E40,0,D58*(1-N11+N10))</f>
        <v>24278.905088706048</v>
      </c>
      <c r="F58" s="13">
        <f>IF(N12&lt;=F40,0,E58*(1-N11+N10))</f>
        <v>23841.884797109338</v>
      </c>
      <c r="G58" s="13">
        <f>IF(N12&lt;=G40,0,F58*(1-N11+N10))</f>
        <v>23412.73087076137</v>
      </c>
      <c r="H58" s="13">
        <f>IF(N12&lt;=H40,0,G58*(1-N11+N10))</f>
        <v>22991.301715087666</v>
      </c>
      <c r="I58" s="13">
        <f>IF(N12&lt;=I40,0,H58*(1-N11+N10))</f>
        <v>22577.458284216089</v>
      </c>
      <c r="J58" s="13">
        <f>IF(N12&lt;=J40,0,I58*(1-N11+N10))</f>
        <v>22171.0640351002</v>
      </c>
      <c r="K58" s="13">
        <f>IF(N12&lt;=K40,0,J58*(1-N11+N10))</f>
        <v>21771.984882468398</v>
      </c>
      <c r="L58" s="13">
        <f>IF(N12&lt;=L40,0,K58*(1-N11+N10))</f>
        <v>21380.089154583966</v>
      </c>
      <c r="M58" s="13">
        <f>IF(N12&lt;=M40,0,L58*(1-N11+N10))</f>
        <v>20995.247549801454</v>
      </c>
      <c r="N58" s="13">
        <f>IF(N12&lt;=N40,0,M58*(1-N11+N10))</f>
        <v>20617.333093905028</v>
      </c>
      <c r="O58" s="13">
        <f>IF(N12&lt;=O40,0,N58*(1-N11+N10))</f>
        <v>20246.221098214737</v>
      </c>
      <c r="P58" s="13">
        <f>IF(N12&lt;=P40,0,O58*(1-N11+N10))</f>
        <v>19881.789118446872</v>
      </c>
      <c r="Q58" s="13">
        <f>IF(N12&lt;=Q40,0,P58*(1-N11+N10))</f>
        <v>19523.916914314828</v>
      </c>
      <c r="R58" s="13">
        <f>IF(N12&lt;=R40,0,Q58*(1-N11+N10))</f>
        <v>19172.48640985716</v>
      </c>
      <c r="S58" s="13">
        <f>IF(N12&lt;=S40,0,R58*(1-N11+N10))</f>
        <v>18827.38165447973</v>
      </c>
      <c r="T58" s="13">
        <f>IF(N12&lt;=T40,0,S58*(1-N11+N10))</f>
        <v>18488.488784699093</v>
      </c>
      <c r="U58" s="13">
        <f>IF(N12&lt;=U40,0,T58*(1-N11+N10))</f>
        <v>18155.695986574508</v>
      </c>
      <c r="V58" s="13">
        <f>IF(N12&lt;=V40,0,U58*(1-N11+N10))</f>
        <v>17828.893458816168</v>
      </c>
      <c r="W58" s="13">
        <f>IF(N12&lt;=W40,0,V58*(1-N11+N10))</f>
        <v>17507.973376557478</v>
      </c>
      <c r="X58" s="13">
        <f>IF(N12&lt;=WC40,0,W58*(1-N11+N10))</f>
        <v>17192.829855779444</v>
      </c>
      <c r="Y58" s="13">
        <f>IF(N12&lt;=Y40,0,X58*(1-N11+N10))</f>
        <v>16883.358918375416</v>
      </c>
      <c r="Z58" s="13">
        <f>IF(N12&lt;=Z40,0,Y58*(1-N11+N10))</f>
        <v>16579.458457844659</v>
      </c>
      <c r="AA58" s="13">
        <f>IF(N12&lt;=AA40,0,Z58*(1-N11+N10))</f>
        <v>16281.028205603456</v>
      </c>
      <c r="AB58" s="13">
        <f>IF(N12&lt;=AB40,0,AA58*(1-N11+N10))</f>
        <v>15987.969697902594</v>
      </c>
      <c r="AC58" s="13">
        <f>IF(N12&lt;=AC40,0,AB58*(1-N11+N10))</f>
        <v>15700.186243340348</v>
      </c>
      <c r="AD58" s="13">
        <f>IF(N12&lt;=AD40,0,AC58*(1-N11+N10))</f>
        <v>0</v>
      </c>
      <c r="AE58" s="13">
        <f>IF(N12&lt;=AE40,0,AD58*(1-N11+N10))</f>
        <v>0</v>
      </c>
      <c r="AF58" s="13">
        <f>IF(N12&lt;=AF40,0,AE58*(1-N11+N10))</f>
        <v>0</v>
      </c>
      <c r="AG58" s="13">
        <f>IF(N12&lt;=AG40,0,AF58*(1-N11+N10))</f>
        <v>0</v>
      </c>
      <c r="AH58" s="13">
        <f>IF(N12&lt;=AH40,0,AG58*(1-N11+N10))</f>
        <v>0</v>
      </c>
      <c r="AI58" s="13">
        <f>IF(N12&lt;=AI40,0,AH58*(1-N11+N10))</f>
        <v>0</v>
      </c>
      <c r="AJ58" s="13">
        <f>IF(N12&lt;=AJ40,0,AI58*(1-N11+N10))</f>
        <v>0</v>
      </c>
      <c r="AK58" s="13">
        <f>IF(N12&lt;=AK40,0,AJ58*(1-N11+N10))</f>
        <v>0</v>
      </c>
      <c r="AL58" s="13"/>
      <c r="AM58" s="13"/>
      <c r="AN58" s="13"/>
      <c r="AO58" s="13"/>
      <c r="AP58" s="13"/>
      <c r="AQ58" s="13"/>
      <c r="AR58" s="13"/>
    </row>
    <row r="59" spans="1:57" ht="15.75" customHeight="1" x14ac:dyDescent="0.2">
      <c r="A59" s="39">
        <v>10</v>
      </c>
      <c r="B59" s="40">
        <f>(A59*N7)</f>
        <v>0.32</v>
      </c>
      <c r="C59" s="41">
        <f>(((LARGE(D19:M19,1))+(LARGE(D19:M19,2))+(LARGE(D19:M19,3)))/3)*(B59)</f>
        <v>24885.119999999999</v>
      </c>
      <c r="D59" s="21">
        <f t="array" ref="D59">IF(N12&lt;=D40,0,NPV((N11-N10),0,0,0,0,0,0,0,C59))</f>
        <v>21575.333389935156</v>
      </c>
      <c r="E59" s="13">
        <f>IF(N12&lt;=E40,0,D59*(1-N11+N10))</f>
        <v>21186.977388916323</v>
      </c>
      <c r="F59" s="13">
        <f>IF(N12&lt;=F40,0,E59*(1-N11+N10))</f>
        <v>20805.611795915829</v>
      </c>
      <c r="G59" s="13">
        <f>IF(N12&lt;=G40,0,F59*(1-N11+N10))</f>
        <v>20431.110783589345</v>
      </c>
      <c r="H59" s="13">
        <f>IF(N12&lt;=H40,0,G59*(1-N11+N10))</f>
        <v>20063.350789484735</v>
      </c>
      <c r="I59" s="13">
        <f>IF(N12&lt;=I40,0,H59*(1-N11+N10))</f>
        <v>19702.210475274009</v>
      </c>
      <c r="J59" s="13">
        <f>IF(N12&lt;=J40,0,I59*(1-N11+N10))</f>
        <v>19347.570686719075</v>
      </c>
      <c r="K59" s="13">
        <f>IF(N12&lt;=K40,0,J59*(1-N11+N10))</f>
        <v>18999.31441435813</v>
      </c>
      <c r="L59" s="13">
        <f>IF(N12&lt;=L40,0,K59*(1-N11+N10))</f>
        <v>18657.326754899685</v>
      </c>
      <c r="M59" s="13">
        <f>IF(N12&lt;=M40,0,L59*(1-N11+N10))</f>
        <v>18321.494873311491</v>
      </c>
      <c r="N59" s="13">
        <f>IF(N12&lt;=N40,0,M59*(1-N11+N10))</f>
        <v>17991.707965591882</v>
      </c>
      <c r="O59" s="13">
        <f>IF(N12&lt;=O40,0,N59*(1-N11+N10))</f>
        <v>17667.857222211227</v>
      </c>
      <c r="P59" s="13">
        <f>IF(N12&lt;=P40,0,O59*(1-N11+N10))</f>
        <v>17349.835792211426</v>
      </c>
      <c r="Q59" s="13">
        <f>IF(N12&lt;=Q40,0,P59*(1-N11+N10))</f>
        <v>17037.538747951621</v>
      </c>
      <c r="R59" s="13">
        <f>IF(N12&lt;=R40,0,Q59*(1-N11+N10))</f>
        <v>16730.863050488493</v>
      </c>
      <c r="S59" s="13">
        <f>IF(N12&lt;=S40,0,R59*(1-N11+N10))</f>
        <v>16429.707515579699</v>
      </c>
      <c r="T59" s="13">
        <f>IF(N12&lt;=T40,0,S59*(1-N11+N10))</f>
        <v>16133.972780299264</v>
      </c>
      <c r="U59" s="13">
        <f>IF(N12&lt;=U40,0,T59*(1-N11+N10))</f>
        <v>15843.561270253877</v>
      </c>
      <c r="V59" s="13">
        <f>IF(N12&lt;=V40,0,U59*(1-N11+N10))</f>
        <v>15558.377167389306</v>
      </c>
      <c r="W59" s="13">
        <f>IF(N12&lt;=W40,0,V59*(1-N11+N10))</f>
        <v>15278.326378376298</v>
      </c>
      <c r="X59" s="13">
        <f>IF(N12&lt;=X40,0,W59*(1-N11+N10))</f>
        <v>15003.316503565524</v>
      </c>
      <c r="Y59" s="13">
        <f>IF(N12&lt;=Y40,0,X59*(1-N11+N10))</f>
        <v>14733.256806501344</v>
      </c>
      <c r="Z59" s="13">
        <f>IF(N12&lt;=Z40,0,Y59*(1-N11+N10))</f>
        <v>14468.05818398432</v>
      </c>
      <c r="AA59" s="13">
        <f>IF(N12&lt;=AA40,0,Z59*(1-N11+N10))</f>
        <v>14207.633136672603</v>
      </c>
      <c r="AB59" s="13">
        <f>IF(N12&lt;=AB40,0,AA59*(1-N11+N10))</f>
        <v>13951.895740212496</v>
      </c>
      <c r="AC59" s="13">
        <f>IF(N12&lt;=AC40,0,AB59*(1-N11+N10))</f>
        <v>13700.761616888671</v>
      </c>
      <c r="AD59" s="13">
        <f>IF(N12&lt;=AD40,0,AC59*(1-N11+N10))</f>
        <v>0</v>
      </c>
      <c r="AE59" s="13">
        <f>IF(N12&lt;=AE40,0,AD59*(1-N11+N10))</f>
        <v>0</v>
      </c>
      <c r="AF59" s="13">
        <f>IF(N12&lt;=AF40,0,AE59*(1-N11+N10))</f>
        <v>0</v>
      </c>
      <c r="AG59" s="13">
        <f>IF(N12&lt;=AG40,0,AF59*(1-N11+N10))</f>
        <v>0</v>
      </c>
      <c r="AH59" s="13">
        <f>IF(N12&lt;=AH40,0,AG59*(1-N11+N10))</f>
        <v>0</v>
      </c>
      <c r="AI59" s="13">
        <f>IF(N12&lt;=AI40,0,AH59*(1-N11+N10))</f>
        <v>0</v>
      </c>
      <c r="AJ59" s="13">
        <f>IF(N12&lt;=AJ40,0,AI59*(1-N11+N10))</f>
        <v>0</v>
      </c>
      <c r="AK59" s="13">
        <f>IF(N12&lt;=AK40,0,AJ59*(1-N11+N10))</f>
        <v>0</v>
      </c>
      <c r="AL59" s="13"/>
      <c r="AM59" s="13"/>
      <c r="AN59" s="13"/>
      <c r="AO59" s="13"/>
      <c r="AP59" s="13"/>
      <c r="AQ59" s="13"/>
      <c r="AR59" s="13"/>
    </row>
    <row r="60" spans="1:57" ht="15.75" customHeight="1" x14ac:dyDescent="0.2">
      <c r="A60" s="65"/>
      <c r="B60" s="63"/>
      <c r="C60" s="63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10"/>
      <c r="BE60" s="10"/>
    </row>
    <row r="61" spans="1:57" ht="15.75" customHeight="1" x14ac:dyDescent="0.2">
      <c r="A61" s="79" t="s">
        <v>70</v>
      </c>
      <c r="B61" s="63"/>
      <c r="C61" s="63"/>
      <c r="D61" s="22"/>
      <c r="E61" s="22"/>
      <c r="F61" s="22"/>
      <c r="G61" s="22"/>
      <c r="H61" s="22"/>
      <c r="I61" s="22"/>
      <c r="J61" s="22">
        <f>IF(N12&lt;=J40,0,N5)</f>
        <v>76429.183999999994</v>
      </c>
      <c r="K61" s="22">
        <f>IF(N12&lt;=K40,0,N5)</f>
        <v>76429.183999999994</v>
      </c>
      <c r="L61" s="22">
        <f>IF(N12&lt;=L40,0,N5)</f>
        <v>76429.183999999994</v>
      </c>
      <c r="M61" s="22">
        <f>IF(N12&lt;=M40,0,N5)</f>
        <v>76429.183999999994</v>
      </c>
      <c r="N61" s="22">
        <f>IF(N12&lt;=N40,0,N5)</f>
        <v>76429.183999999994</v>
      </c>
      <c r="O61" s="22">
        <f>IF(N12&lt;=O40,0,N5)</f>
        <v>76429.183999999994</v>
      </c>
      <c r="P61" s="22">
        <f>IF(N12&lt;=P40,0,N5)</f>
        <v>76429.183999999994</v>
      </c>
      <c r="Q61" s="22">
        <f>IF(N12&lt;=Q40,0,N5)</f>
        <v>76429.183999999994</v>
      </c>
      <c r="R61" s="22">
        <f>IF(N12&lt;=R40,0,N5)</f>
        <v>76429.183999999994</v>
      </c>
      <c r="S61" s="22">
        <f>IF(N12&lt;=S40,0,N5)</f>
        <v>76429.183999999994</v>
      </c>
      <c r="T61" s="22">
        <f>IF(N12&lt;=T40,0,N5)</f>
        <v>76429.183999999994</v>
      </c>
      <c r="U61" s="22">
        <f>IF(N12&lt;=U40,0,N5)</f>
        <v>76429.183999999994</v>
      </c>
      <c r="V61" s="22">
        <f>IF(N12&lt;=V40,0,N5)</f>
        <v>76429.183999999994</v>
      </c>
      <c r="W61" s="22">
        <f>IF(N12&lt;=W40,0,N5)</f>
        <v>76429.183999999994</v>
      </c>
      <c r="X61" s="22">
        <f>IF(N12&lt;=X40,0,N5)</f>
        <v>76429.183999999994</v>
      </c>
      <c r="Y61" s="22">
        <f>IF(N12&lt;=Y40,0,N5)</f>
        <v>76429.183999999994</v>
      </c>
      <c r="Z61" s="22">
        <f>IF(N12&lt;=Z40,0,N5)</f>
        <v>76429.183999999994</v>
      </c>
      <c r="AA61" s="22">
        <f>IF(N12&lt;=AA40,0,N5)</f>
        <v>76429.183999999994</v>
      </c>
      <c r="AB61" s="22">
        <f>IF(N12&lt;=AB40,0,N5)</f>
        <v>76429.183999999994</v>
      </c>
      <c r="AC61" s="22">
        <f>IF(N12&lt;=AC40,0,N5)</f>
        <v>76429.183999999994</v>
      </c>
      <c r="AD61" s="22">
        <f>IF(N12&lt;=AD40,0,N5)</f>
        <v>0</v>
      </c>
      <c r="AE61" s="22">
        <f>IF(N12&lt;=AE40,0,N5)</f>
        <v>0</v>
      </c>
      <c r="AF61" s="22">
        <f>IF(N12&lt;=AF40,0,N5)</f>
        <v>0</v>
      </c>
      <c r="AG61" s="22">
        <f>IF(N12&lt;=AG40,0,N5)</f>
        <v>0</v>
      </c>
      <c r="AH61" s="22">
        <f>IF(N12&lt;=AH40,0,N5)</f>
        <v>0</v>
      </c>
      <c r="AI61" s="22">
        <f>IF(N12&lt;=AI40,0,N5)</f>
        <v>0</v>
      </c>
      <c r="AJ61" s="22">
        <f>IF(N12&lt;=AJ40,0,N5)</f>
        <v>0</v>
      </c>
      <c r="AK61" s="22">
        <f>IF(N12&lt;=AK40,0,N5)</f>
        <v>0</v>
      </c>
      <c r="AL61" s="22"/>
      <c r="AM61" s="22"/>
      <c r="AN61" s="2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22"/>
      <c r="BE61" s="22"/>
    </row>
    <row r="62" spans="1:57" ht="15.75" customHeight="1" x14ac:dyDescent="0.2">
      <c r="A62" s="80" t="s">
        <v>71</v>
      </c>
      <c r="B62" s="63"/>
      <c r="C62" s="63"/>
      <c r="D62" s="22"/>
      <c r="E62" s="22"/>
      <c r="F62" s="22"/>
      <c r="G62" s="22"/>
      <c r="H62" s="22"/>
      <c r="I62" s="22"/>
      <c r="J62" s="22">
        <f>IF(N12&lt;=J40,0,MAX(0,(-FV((N8-N11),1,-J61,AA37))))</f>
        <v>1636161.4323249715</v>
      </c>
      <c r="K62" s="22">
        <f>IF(N12&lt;=K40,0,MAX(0,(-FV((N8-N11),1,-K61,J62))))</f>
        <v>1648903.0463866827</v>
      </c>
      <c r="L62" s="22">
        <f>IF(N12&lt;=L40,0,MAX(0,(-FV((N8-N11),1,-L61,K62))))</f>
        <v>1662339.078414757</v>
      </c>
      <c r="M62" s="22">
        <f>IF(N12&lt;=M40,0,MAX(0,(-FV((N8-N11),1,-M61,L62))))</f>
        <v>1676507.3741883615</v>
      </c>
      <c r="N62" s="22">
        <f>IF(N12&lt;=N40,0,MAX(0,(-FV((N8-N11),1,-N61,M62))))</f>
        <v>1691447.8420816273</v>
      </c>
      <c r="O62" s="22">
        <f>IF(N12&lt;=O40,0,MAX(0,(-FV((N8-N11),1,-O61,N62))))</f>
        <v>1707202.5654750762</v>
      </c>
      <c r="P62" s="22">
        <f>IF(N12&lt;=P40,0,MAX(0,(-FV((N8-N11),1,-P61,O62))))</f>
        <v>1723815.921293468</v>
      </c>
      <c r="Q62" s="22">
        <f>IF(N12&lt;=Q40,0,MAX(0,(-FV((N8-N11),1,-Q61,P62))))</f>
        <v>1741334.7050039622</v>
      </c>
      <c r="R62" s="22">
        <f>IF(N12&lt;=R40,0,MAX(0,(-FV((N8-N11),1,-R61,Q62))))</f>
        <v>1759808.2624266781</v>
      </c>
      <c r="S62" s="22">
        <f>IF(N12&lt;=S40,0,MAX(0,(-FV((N8-N11),1,-S61,R62))))</f>
        <v>1779288.6287289322</v>
      </c>
      <c r="T62" s="22">
        <f>IF(N12&lt;=T40,0,MAX(0,(-FV((N8-N11),1,-T61,S62))))</f>
        <v>1799830.6749946591</v>
      </c>
      <c r="U62" s="22">
        <f>IF(N12&lt;=U40,0,MAX(0,(-FV((N8-N11),1,-U61,T62))))</f>
        <v>1821492.2627818682</v>
      </c>
      <c r="V62" s="22">
        <f>IF(N12&lt;=V40,0,MAX(0,(-FV((N8-N11),1,-V61,U62))))</f>
        <v>1844334.4071034801</v>
      </c>
      <c r="W62" s="22">
        <f>IF(N12&lt;=W40,0,MAX(0,(-FV((N8-N11),1,-W61,V62))))</f>
        <v>1868421.4482906198</v>
      </c>
      <c r="X62" s="22">
        <f>IF(N12&lt;=X40,0,MAX(0,(-FV((N8-N11),1,-X61,W62))))</f>
        <v>1893821.2332224587</v>
      </c>
      <c r="Y62" s="22">
        <f>IF(N12&lt;=Y40,0,MAX(0,(-FV((N8-N11),1,-Y61,X62))))</f>
        <v>1920605.3064330828</v>
      </c>
      <c r="Z62" s="22">
        <f>IF(N12&lt;=Z40,0,MAX(0,(-FV((N8-N11),1,-Z61,Y62))))</f>
        <v>1948849.1116336859</v>
      </c>
      <c r="AA62" s="22">
        <f>IF(N12&lt;=AA40,0,MAX(0,(-FV((N8-N11),1,-AA61,Z62))))</f>
        <v>1978632.2042177219</v>
      </c>
      <c r="AB62" s="22">
        <f>IF(N12&lt;=AB40,0,MAX(0,(-FV((N8-N11),1,-AB61,AA62))))</f>
        <v>2010038.4753475878</v>
      </c>
      <c r="AC62" s="22">
        <f>IF(N12&lt;=AC40,0,MAX(0,(-FV((N8-N11),1,-AC61,AB62))))</f>
        <v>2043156.3882540315</v>
      </c>
      <c r="AD62" s="22">
        <f>IF(N12&lt;=AD40,0,MAX(0,(-FV((N8-N11),1,-AD61,AC62))))</f>
        <v>0</v>
      </c>
      <c r="AE62" s="22">
        <f>IF(N12&lt;=AE40,0,MAX(0,(-FV((N8-N11),1,-AE61,AD62))))</f>
        <v>0</v>
      </c>
      <c r="AF62" s="22">
        <f>IF(N12&lt;=AF40,0,MAX(0,(-FV((N8-N11),1,-AF61,AE62))))</f>
        <v>0</v>
      </c>
      <c r="AG62" s="22">
        <f>IF(N12&lt;=AG40,0,MAX(0,(-FV((N8-N11),1,-AG61,AF62))))</f>
        <v>0</v>
      </c>
      <c r="AH62" s="22">
        <f>IF(N12&lt;=AH40,0,MAX(0,(-FV((N8-N11),1,-AH61,AG62))))</f>
        <v>0</v>
      </c>
      <c r="AI62" s="22">
        <f>IF(N12&lt;=AI40,0,MAX(0,(-FV((N8-N11),1,-AI61,AH62))))</f>
        <v>0</v>
      </c>
      <c r="AJ62" s="22">
        <f>IF(N12&lt;=AJ40,0,MAX(0,(-FV((N8-N11),1,-AJ61,AI62))))</f>
        <v>0</v>
      </c>
      <c r="AK62" s="22">
        <f>IF(N12&lt;=AK40,0,MAX(0,(-FV((N8-N11),1,-AK61,AJ62))))</f>
        <v>0</v>
      </c>
      <c r="AL62" s="22"/>
      <c r="AM62" s="22"/>
      <c r="AN62" s="2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22"/>
      <c r="AZ62" s="22"/>
      <c r="BA62" s="22"/>
      <c r="BB62" s="22"/>
      <c r="BC62" s="22"/>
      <c r="BD62" s="22"/>
      <c r="BE62" s="22"/>
    </row>
    <row r="63" spans="1:57" ht="15.75" customHeight="1" x14ac:dyDescent="0.2">
      <c r="E63" s="14"/>
      <c r="F63" s="14"/>
      <c r="G63" s="14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57" ht="15.75" customHeight="1" x14ac:dyDescent="0.2"/>
    <row r="65" spans="6:31" ht="15.75" customHeight="1" x14ac:dyDescent="0.2"/>
    <row r="66" spans="6:31" ht="15.75" customHeight="1" x14ac:dyDescent="0.2">
      <c r="K66" s="43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6:31" ht="15.75" customHeight="1" x14ac:dyDescent="0.2">
      <c r="F67" s="44"/>
      <c r="G67" s="43"/>
      <c r="H67" s="44"/>
      <c r="I67" s="44"/>
      <c r="K67" s="43"/>
      <c r="M67" s="43"/>
      <c r="O67" s="43"/>
      <c r="Q67" s="43"/>
      <c r="S67" s="43"/>
      <c r="U67" s="43"/>
      <c r="V67" s="43"/>
      <c r="W67" s="43"/>
      <c r="X67" s="43"/>
      <c r="Y67" s="45"/>
    </row>
    <row r="68" spans="6:31" ht="15.75" customHeight="1" x14ac:dyDescent="0.2">
      <c r="F68" s="44"/>
      <c r="G68" s="21"/>
      <c r="H68" s="44"/>
      <c r="I68" s="44"/>
      <c r="J68" s="44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5"/>
    </row>
    <row r="69" spans="6:31" ht="15.75" customHeight="1" x14ac:dyDescent="0.2">
      <c r="F69" s="44"/>
      <c r="G69" s="21"/>
      <c r="H69" s="44"/>
      <c r="I69" s="44"/>
      <c r="J69" s="44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5"/>
    </row>
    <row r="70" spans="6:31" ht="15.75" customHeight="1" x14ac:dyDescent="0.2">
      <c r="F70" s="44"/>
      <c r="G70" s="21"/>
      <c r="H70" s="44"/>
      <c r="I70" s="44"/>
      <c r="J70" s="44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5"/>
    </row>
    <row r="71" spans="6:31" ht="15.75" customHeight="1" x14ac:dyDescent="0.2">
      <c r="F71" s="44"/>
      <c r="G71" s="21"/>
      <c r="H71" s="44"/>
      <c r="I71" s="44"/>
      <c r="J71" s="44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5"/>
    </row>
    <row r="72" spans="6:31" ht="15.75" customHeight="1" x14ac:dyDescent="0.2">
      <c r="F72" s="44"/>
      <c r="G72" s="21"/>
      <c r="H72" s="44"/>
      <c r="I72" s="44"/>
      <c r="J72" s="44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5"/>
    </row>
    <row r="73" spans="6:31" ht="15.75" customHeight="1" x14ac:dyDescent="0.2">
      <c r="F73" s="44"/>
      <c r="G73" s="21"/>
      <c r="H73" s="44"/>
      <c r="I73" s="44"/>
      <c r="J73" s="44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5"/>
    </row>
    <row r="74" spans="6:31" ht="15.75" customHeight="1" x14ac:dyDescent="0.2">
      <c r="F74" s="44"/>
      <c r="G74" s="21"/>
      <c r="H74" s="44"/>
      <c r="I74" s="44"/>
      <c r="J74" s="44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5"/>
    </row>
    <row r="75" spans="6:31" ht="15.75" customHeight="1" x14ac:dyDescent="0.2">
      <c r="F75" s="44"/>
      <c r="G75" s="21"/>
      <c r="H75" s="44"/>
      <c r="I75" s="44"/>
      <c r="J75" s="44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5"/>
    </row>
    <row r="76" spans="6:31" ht="15.75" customHeight="1" x14ac:dyDescent="0.2">
      <c r="F76" s="44"/>
      <c r="G76" s="21"/>
      <c r="H76" s="44"/>
      <c r="I76" s="44"/>
      <c r="J76" s="44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5"/>
    </row>
    <row r="77" spans="6:31" ht="15.75" customHeight="1" x14ac:dyDescent="0.2">
      <c r="F77" s="44"/>
      <c r="G77" s="46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6:31" ht="15.75" customHeight="1" x14ac:dyDescent="0.2">
      <c r="F78" s="44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</row>
    <row r="79" spans="6:31" ht="15.75" customHeight="1" x14ac:dyDescent="0.2">
      <c r="F79" s="44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</row>
    <row r="80" spans="6:31" ht="15.75" customHeight="1" x14ac:dyDescent="0.2">
      <c r="F80" s="44"/>
    </row>
    <row r="81" spans="7:29" ht="15.75" customHeight="1" x14ac:dyDescent="0.2"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7:29" ht="15.75" customHeight="1" x14ac:dyDescent="0.2"/>
    <row r="83" spans="7:29" ht="15.75" customHeight="1" x14ac:dyDescent="0.2"/>
    <row r="84" spans="7:29" ht="15.75" customHeight="1" x14ac:dyDescent="0.2"/>
    <row r="85" spans="7:29" ht="15.75" customHeight="1" x14ac:dyDescent="0.2"/>
    <row r="86" spans="7:29" ht="15.75" customHeight="1" x14ac:dyDescent="0.2"/>
    <row r="87" spans="7:29" ht="15.75" customHeight="1" x14ac:dyDescent="0.2"/>
    <row r="88" spans="7:29" ht="15.75" customHeight="1" x14ac:dyDescent="0.2"/>
    <row r="89" spans="7:29" ht="15.75" customHeight="1" x14ac:dyDescent="0.2"/>
    <row r="90" spans="7:29" ht="15.75" customHeight="1" x14ac:dyDescent="0.2"/>
    <row r="91" spans="7:29" ht="15.75" customHeight="1" x14ac:dyDescent="0.2"/>
    <row r="92" spans="7:29" ht="15.75" customHeight="1" x14ac:dyDescent="0.2"/>
    <row r="93" spans="7:29" ht="15.75" customHeight="1" x14ac:dyDescent="0.2"/>
    <row r="94" spans="7:29" ht="15.75" customHeight="1" x14ac:dyDescent="0.2"/>
    <row r="95" spans="7:29" ht="15.75" customHeight="1" x14ac:dyDescent="0.2"/>
    <row r="96" spans="7:29" ht="15.75" customHeight="1" x14ac:dyDescent="0.2">
      <c r="G96" s="14"/>
      <c r="H96" s="14"/>
      <c r="I96" s="14"/>
      <c r="J96" s="14"/>
      <c r="K96" s="14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2">
    <mergeCell ref="AA28:AB29"/>
    <mergeCell ref="AA30:AB30"/>
    <mergeCell ref="A4:I4"/>
    <mergeCell ref="A3:I3"/>
    <mergeCell ref="P10:AA10"/>
    <mergeCell ref="P9:AA9"/>
    <mergeCell ref="P6:AA6"/>
    <mergeCell ref="P5:AA5"/>
    <mergeCell ref="P7:AA7"/>
    <mergeCell ref="P8:AA8"/>
    <mergeCell ref="A34:C34"/>
    <mergeCell ref="A21:C21"/>
    <mergeCell ref="J4:M4"/>
    <mergeCell ref="J6:M6"/>
    <mergeCell ref="J7:M7"/>
    <mergeCell ref="A9:I9"/>
    <mergeCell ref="A8:I8"/>
    <mergeCell ref="J8:M8"/>
    <mergeCell ref="D49:P49"/>
    <mergeCell ref="A6:I6"/>
    <mergeCell ref="A7:I7"/>
    <mergeCell ref="J9:M9"/>
    <mergeCell ref="J11:M11"/>
    <mergeCell ref="J12:M12"/>
    <mergeCell ref="J14:M14"/>
    <mergeCell ref="J13:M13"/>
    <mergeCell ref="A35:C35"/>
    <mergeCell ref="E16:G16"/>
    <mergeCell ref="A16:D16"/>
    <mergeCell ref="A41:C41"/>
    <mergeCell ref="A40:C40"/>
    <mergeCell ref="A42:C42"/>
    <mergeCell ref="A25:C25"/>
    <mergeCell ref="A26:C26"/>
    <mergeCell ref="A60:C60"/>
    <mergeCell ref="A61:C61"/>
    <mergeCell ref="A62:C62"/>
    <mergeCell ref="A43:C43"/>
    <mergeCell ref="A17:C17"/>
    <mergeCell ref="A18:C18"/>
    <mergeCell ref="A19:C19"/>
    <mergeCell ref="A20:C20"/>
    <mergeCell ref="A32:C32"/>
    <mergeCell ref="A33:C33"/>
    <mergeCell ref="A29:C29"/>
    <mergeCell ref="A28:C28"/>
    <mergeCell ref="A30:C30"/>
    <mergeCell ref="A31:C31"/>
    <mergeCell ref="A24:C24"/>
    <mergeCell ref="A23:C23"/>
    <mergeCell ref="AA37:AB37"/>
    <mergeCell ref="AA35:AB36"/>
    <mergeCell ref="A37:C37"/>
    <mergeCell ref="A36:C36"/>
    <mergeCell ref="H39:AJ39"/>
    <mergeCell ref="E39:G39"/>
    <mergeCell ref="A39:D39"/>
    <mergeCell ref="A2:I2"/>
    <mergeCell ref="A1:AA1"/>
    <mergeCell ref="J2:N2"/>
    <mergeCell ref="J3:M3"/>
    <mergeCell ref="A10:I10"/>
    <mergeCell ref="J10:M10"/>
    <mergeCell ref="J5:M5"/>
    <mergeCell ref="A5:I5"/>
    <mergeCell ref="P4:AA4"/>
    <mergeCell ref="P3:AA3"/>
    <mergeCell ref="O2:O14"/>
    <mergeCell ref="P2:AA2"/>
    <mergeCell ref="A27:C27"/>
    <mergeCell ref="A22:C22"/>
    <mergeCell ref="H16:AB16"/>
    <mergeCell ref="AA19:AB19"/>
    <mergeCell ref="AA18:AB18"/>
    <mergeCell ref="AA17:AB17"/>
    <mergeCell ref="P11:AA11"/>
    <mergeCell ref="P12:AA12"/>
    <mergeCell ref="A15:AB15"/>
    <mergeCell ref="A14:I14"/>
    <mergeCell ref="A13:I13"/>
    <mergeCell ref="A12:I12"/>
    <mergeCell ref="A11:I11"/>
  </mergeCells>
  <conditionalFormatting sqref="J61:AK62">
    <cfRule type="cellIs" dxfId="41" priority="1" operator="equal">
      <formula>0</formula>
    </cfRule>
  </conditionalFormatting>
  <conditionalFormatting sqref="J62:AK62">
    <cfRule type="cellIs" dxfId="40" priority="2" operator="between">
      <formula>500000</formula>
      <formula>1</formula>
    </cfRule>
  </conditionalFormatting>
  <conditionalFormatting sqref="D34:M34">
    <cfRule type="cellIs" dxfId="39" priority="3" operator="lessThan">
      <formula>0</formula>
    </cfRule>
  </conditionalFormatting>
  <conditionalFormatting sqref="N35:W35">
    <cfRule type="cellIs" dxfId="38" priority="4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R1000"/>
  <sheetViews>
    <sheetView workbookViewId="0">
      <selection activeCell="A27" sqref="A27"/>
    </sheetView>
  </sheetViews>
  <sheetFormatPr defaultColWidth="14.42578125" defaultRowHeight="15" customHeight="1" x14ac:dyDescent="0.2"/>
  <cols>
    <col min="1" max="1" width="23.42578125" customWidth="1"/>
    <col min="2" max="50" width="9.7109375" customWidth="1"/>
  </cols>
  <sheetData>
    <row r="1" spans="1:70" ht="15.75" customHeight="1" x14ac:dyDescent="0.25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</row>
    <row r="2" spans="1:70" ht="15.7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</row>
    <row r="3" spans="1:70" ht="15.75" customHeight="1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</row>
    <row r="4" spans="1:70" ht="15.75" customHeight="1" x14ac:dyDescent="0.25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</row>
    <row r="5" spans="1:70" ht="15.75" customHeigh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</row>
    <row r="6" spans="1:70" ht="15.75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</row>
    <row r="7" spans="1:70" ht="15.7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</row>
    <row r="8" spans="1:70" ht="15.75" customHeight="1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</row>
    <row r="9" spans="1:70" ht="15.75" customHeight="1" x14ac:dyDescent="0.2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</row>
    <row r="10" spans="1:70" ht="15.75" customHeight="1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</row>
    <row r="11" spans="1:70" ht="15.75" customHeight="1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</row>
    <row r="12" spans="1:70" ht="15.75" customHeight="1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</row>
    <row r="13" spans="1:70" ht="15.75" customHeight="1" x14ac:dyDescent="0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</row>
    <row r="14" spans="1:70" ht="15.75" customHeight="1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</row>
    <row r="15" spans="1:70" ht="15.75" customHeight="1" x14ac:dyDescent="0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</row>
    <row r="16" spans="1:70" ht="15.75" customHeight="1" x14ac:dyDescent="0.2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</row>
    <row r="17" spans="1:70" ht="15.75" customHeight="1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</row>
    <row r="18" spans="1:70" ht="15.75" customHeight="1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</row>
    <row r="19" spans="1:70" ht="15.75" customHeight="1" x14ac:dyDescent="0.2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</row>
    <row r="20" spans="1:70" ht="15.75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</row>
    <row r="21" spans="1:70" ht="15.75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</row>
    <row r="22" spans="1:70" ht="15.75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</row>
    <row r="23" spans="1:70" ht="15.75" customHeight="1" x14ac:dyDescent="0.25">
      <c r="A23" s="58" t="s">
        <v>85</v>
      </c>
      <c r="B23" s="59">
        <v>20</v>
      </c>
      <c r="C23" s="59">
        <v>21</v>
      </c>
      <c r="D23" s="59">
        <v>22</v>
      </c>
      <c r="E23" s="59">
        <v>23</v>
      </c>
      <c r="F23" s="59">
        <v>24</v>
      </c>
      <c r="G23" s="59">
        <v>25</v>
      </c>
      <c r="H23" s="59">
        <v>26</v>
      </c>
      <c r="I23" s="59">
        <v>27</v>
      </c>
      <c r="J23" s="59">
        <v>28</v>
      </c>
      <c r="K23" s="59">
        <v>29</v>
      </c>
      <c r="L23" s="59">
        <v>30</v>
      </c>
      <c r="M23" s="59">
        <v>31</v>
      </c>
      <c r="N23" s="59">
        <v>32</v>
      </c>
      <c r="O23" s="59">
        <v>33</v>
      </c>
      <c r="P23" s="59">
        <v>34</v>
      </c>
      <c r="Q23" s="59">
        <v>35</v>
      </c>
      <c r="R23" s="59">
        <v>36</v>
      </c>
      <c r="S23" s="59">
        <v>37</v>
      </c>
      <c r="T23" s="59">
        <v>38</v>
      </c>
      <c r="U23" s="59">
        <v>39</v>
      </c>
      <c r="V23" s="59">
        <v>40</v>
      </c>
      <c r="W23" s="59">
        <v>41</v>
      </c>
      <c r="X23" s="59">
        <v>42</v>
      </c>
      <c r="Y23" s="59">
        <v>43</v>
      </c>
      <c r="Z23" s="59">
        <v>44</v>
      </c>
      <c r="AA23" s="59">
        <v>45</v>
      </c>
      <c r="AB23" s="59">
        <v>46</v>
      </c>
      <c r="AC23" s="59">
        <v>47</v>
      </c>
      <c r="AD23" s="59">
        <v>48</v>
      </c>
      <c r="AE23" s="59">
        <v>49</v>
      </c>
      <c r="AF23" s="59">
        <v>50</v>
      </c>
      <c r="AG23" s="59">
        <v>51</v>
      </c>
      <c r="AH23" s="59">
        <v>52</v>
      </c>
      <c r="AI23" s="59">
        <v>53</v>
      </c>
      <c r="AJ23" s="59">
        <v>54</v>
      </c>
      <c r="AK23" s="59">
        <v>55</v>
      </c>
      <c r="AL23" s="59">
        <v>56</v>
      </c>
      <c r="AM23" s="59">
        <v>57</v>
      </c>
      <c r="AN23" s="59">
        <v>58</v>
      </c>
      <c r="AO23" s="59">
        <v>59</v>
      </c>
      <c r="AP23" s="59">
        <v>60</v>
      </c>
      <c r="AQ23" s="59">
        <v>61</v>
      </c>
      <c r="AR23" s="59">
        <v>62</v>
      </c>
      <c r="AS23" s="59">
        <v>63</v>
      </c>
      <c r="AT23" s="59">
        <v>64</v>
      </c>
      <c r="AU23" s="59">
        <v>65</v>
      </c>
      <c r="AV23" s="59">
        <v>66</v>
      </c>
      <c r="AW23" s="59">
        <v>67</v>
      </c>
      <c r="AX23" s="59">
        <v>68</v>
      </c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</row>
    <row r="24" spans="1:70" ht="15.75" customHeight="1" x14ac:dyDescent="0.2">
      <c r="A24" s="4">
        <v>20</v>
      </c>
      <c r="C24" s="14">
        <f>'Starting age 21'!D30</f>
        <v>308609.26211522979</v>
      </c>
      <c r="D24" s="14">
        <f>'Starting age 21'!E30</f>
        <v>330983.43361858395</v>
      </c>
      <c r="E24" s="14">
        <f>'Starting age 21'!F30</f>
        <v>354979.73255593132</v>
      </c>
      <c r="F24" s="14">
        <f>'Starting age 21'!G30</f>
        <v>380715.76316623634</v>
      </c>
      <c r="G24" s="14">
        <f>'Starting age 21'!H30</f>
        <v>408317.65599578846</v>
      </c>
      <c r="H24" s="14">
        <f>'Starting age 21'!I30</f>
        <v>437920.68605548312</v>
      </c>
      <c r="I24" s="14">
        <f>'Starting age 21'!J30</f>
        <v>469669.93579450564</v>
      </c>
      <c r="J24" s="14">
        <f>'Starting age 21'!K30</f>
        <v>503721.00613960729</v>
      </c>
      <c r="K24" s="14">
        <f>'Starting age 21'!L30</f>
        <v>540240.7790847288</v>
      </c>
      <c r="L24" s="14">
        <f>'Starting age 21'!M30</f>
        <v>579408.2355683716</v>
      </c>
      <c r="M24" s="14">
        <f>'Starting age 21'!N30</f>
        <v>621415.33264707855</v>
      </c>
      <c r="N24" s="14">
        <f>'Starting age 21'!O30</f>
        <v>666467.94426399178</v>
      </c>
      <c r="O24" s="14">
        <f>'Starting age 21'!P30</f>
        <v>714786.87022313115</v>
      </c>
      <c r="P24" s="14">
        <f>'Starting age 21'!Q30</f>
        <v>766608.91831430816</v>
      </c>
      <c r="Q24" s="14">
        <f>'Starting age 21'!R30</f>
        <v>822188.06489209551</v>
      </c>
      <c r="R24" s="14">
        <f>'Starting age 21'!S30</f>
        <v>881796.69959677244</v>
      </c>
      <c r="S24" s="14">
        <f>'Starting age 21'!T30</f>
        <v>945726.96031753847</v>
      </c>
      <c r="T24" s="14">
        <f>'Starting age 21'!U30</f>
        <v>1014292.16494056</v>
      </c>
      <c r="U24" s="14">
        <f>'Starting age 21'!V30</f>
        <v>1087828.3468987506</v>
      </c>
      <c r="V24" s="14">
        <f>'Starting age 21'!W30</f>
        <v>1166695.90204891</v>
      </c>
      <c r="W24" s="14">
        <f>'Starting age 21'!X30</f>
        <v>1251281.3549474559</v>
      </c>
      <c r="X24" s="14">
        <f>'Starting age 21'!Y30</f>
        <v>1341999.2531811465</v>
      </c>
      <c r="Y24" s="14">
        <f>'Starting age 21'!Z30</f>
        <v>1439294.1990367796</v>
      </c>
      <c r="Z24" s="14">
        <f>'Starting age 21'!AA30</f>
        <v>1543643.0284669462</v>
      </c>
    </row>
    <row r="25" spans="1:70" ht="15.75" customHeight="1" x14ac:dyDescent="0.2">
      <c r="A25" s="4">
        <v>25</v>
      </c>
      <c r="G25" s="14">
        <f>'Starting age 25'!D30</f>
        <v>297880.75047205697</v>
      </c>
      <c r="H25" s="14">
        <f>'Starting age 25'!E30</f>
        <v>319477.10488128109</v>
      </c>
      <c r="I25" s="14">
        <f>'Starting age 25'!F30</f>
        <v>342639.19498517399</v>
      </c>
      <c r="J25" s="14">
        <f>'Starting age 25'!G30</f>
        <v>367480.53662159911</v>
      </c>
      <c r="K25" s="14">
        <f>'Starting age 25'!H30</f>
        <v>394122.87552666507</v>
      </c>
      <c r="L25" s="14">
        <f>'Starting age 25'!I30</f>
        <v>422696.78400234831</v>
      </c>
      <c r="M25" s="14">
        <f>'Starting age 25'!J30</f>
        <v>453342.30084251857</v>
      </c>
      <c r="N25" s="14">
        <f>'Starting age 25'!K30</f>
        <v>486209.61765360116</v>
      </c>
      <c r="O25" s="14">
        <f>'Starting age 25'!L30</f>
        <v>521459.81493348727</v>
      </c>
      <c r="P25" s="14">
        <f>'Starting age 25'!M30</f>
        <v>559265.65151616512</v>
      </c>
      <c r="Q25" s="14">
        <f>'Starting age 25'!N30</f>
        <v>599812.41125108709</v>
      </c>
      <c r="R25" s="14">
        <f>'Starting age 25'!O30</f>
        <v>643298.81106679095</v>
      </c>
      <c r="S25" s="14">
        <f>'Starting age 25'!P30</f>
        <v>689937.97486913332</v>
      </c>
      <c r="T25" s="14">
        <f>'Starting age 25'!Q30</f>
        <v>739958.47804714553</v>
      </c>
      <c r="U25" s="14">
        <f>'Starting age 25'!R30</f>
        <v>793605.46770556353</v>
      </c>
      <c r="V25" s="14">
        <f>'Starting age 25'!S30</f>
        <v>851141.86411421688</v>
      </c>
      <c r="W25" s="14">
        <f>'Starting age 25'!T30</f>
        <v>912849.64926249755</v>
      </c>
      <c r="X25" s="14">
        <f>'Starting age 25'!U30</f>
        <v>979031.24883402861</v>
      </c>
      <c r="Y25" s="14">
        <f>'Starting age 25'!V30</f>
        <v>1050011.0143744957</v>
      </c>
      <c r="Z25" s="14">
        <f>'Starting age 25'!W30</f>
        <v>1126136.8129166467</v>
      </c>
      <c r="AA25" s="14">
        <f>'Starting age 25'!X30</f>
        <v>1207781.7318531037</v>
      </c>
      <c r="AB25" s="14">
        <f>'Starting age 25'!Y30</f>
        <v>1295345.9074124538</v>
      </c>
      <c r="AC25" s="14">
        <f>'Starting age 25'!Z30</f>
        <v>1389258.4856998567</v>
      </c>
      <c r="AD25" s="14">
        <f>'Starting age 25'!AA30</f>
        <v>1489979.7259130962</v>
      </c>
    </row>
    <row r="26" spans="1:70" ht="15.75" customHeight="1" x14ac:dyDescent="0.2">
      <c r="A26" s="4">
        <v>30</v>
      </c>
      <c r="L26" s="14">
        <f>'Starting age 30'!D30</f>
        <v>281714.02837941359</v>
      </c>
      <c r="M26" s="14">
        <f>'Starting age 30'!E30</f>
        <v>302138.29543692106</v>
      </c>
      <c r="N26" s="14">
        <f>'Starting age 30'!F30</f>
        <v>324043.32185609784</v>
      </c>
      <c r="O26" s="14">
        <f>'Starting age 30'!G30</f>
        <v>347536.46269066492</v>
      </c>
      <c r="P26" s="14">
        <f>'Starting age 30'!H30</f>
        <v>372732.85623573815</v>
      </c>
      <c r="Q26" s="14">
        <f>'Starting age 30'!I30</f>
        <v>399755.98831282917</v>
      </c>
      <c r="R26" s="14">
        <f>'Starting age 30'!J30</f>
        <v>428738.29746550927</v>
      </c>
      <c r="S26" s="14">
        <f>'Starting age 30'!K30</f>
        <v>459821.8240317587</v>
      </c>
      <c r="T26" s="14">
        <f>'Starting age 30'!L30</f>
        <v>493158.90627406118</v>
      </c>
      <c r="U26" s="14">
        <f>'Starting age 30'!M30</f>
        <v>528912.9269789306</v>
      </c>
      <c r="V26" s="14">
        <f>'Starting age 30'!N30</f>
        <v>567259.1141849031</v>
      </c>
      <c r="W26" s="14">
        <f>'Starting age 30'!O30</f>
        <v>608385.39996330859</v>
      </c>
      <c r="X26" s="14">
        <f>'Starting age 30'!P30</f>
        <v>652493.34146064846</v>
      </c>
      <c r="Y26" s="14">
        <f>'Starting age 30'!Q30</f>
        <v>699799.10871654551</v>
      </c>
      <c r="Z26" s="14">
        <f>'Starting age 30'!R30</f>
        <v>750534.54409849504</v>
      </c>
      <c r="AA26" s="14">
        <f>'Starting age 30'!S30</f>
        <v>804948.29854563589</v>
      </c>
      <c r="AB26" s="14">
        <f>'Starting age 30'!T30</f>
        <v>863307.05019019451</v>
      </c>
      <c r="AC26" s="14">
        <f>'Starting age 30'!U30</f>
        <v>925896.81132898363</v>
      </c>
      <c r="AD26" s="14">
        <f>'Starting age 30'!V30</f>
        <v>993024.33015033498</v>
      </c>
      <c r="AE26" s="14">
        <f>'Starting age 30'!W30</f>
        <v>1065018.5940862342</v>
      </c>
      <c r="AF26" s="14">
        <f>'Starting age 30'!X30</f>
        <v>1142232.4421574862</v>
      </c>
      <c r="AG26" s="14">
        <f>'Starting age 30'!Y30</f>
        <v>1225044.2942139041</v>
      </c>
      <c r="AH26" s="14">
        <f>'Starting age 30'!Z30</f>
        <v>1313860.0055444122</v>
      </c>
      <c r="AI26" s="14">
        <f>'Starting age 30'!AA30</f>
        <v>1409114.855946382</v>
      </c>
    </row>
    <row r="27" spans="1:70" ht="15.75" customHeight="1" x14ac:dyDescent="0.2">
      <c r="A27" s="4">
        <v>35</v>
      </c>
      <c r="Q27" s="14">
        <f>'Starting age 35'!D30</f>
        <v>261830.02771961564</v>
      </c>
      <c r="R27" s="14">
        <f>'Starting age 35'!E30</f>
        <v>280812.70472928777</v>
      </c>
      <c r="S27" s="14">
        <f>'Starting age 35'!F30</f>
        <v>301171.62582216115</v>
      </c>
      <c r="T27" s="14">
        <f>'Starting age 35'!G30</f>
        <v>323006.56869426783</v>
      </c>
      <c r="U27" s="14">
        <f>'Starting age 35'!H30</f>
        <v>346424.54492460226</v>
      </c>
      <c r="V27" s="14">
        <f>'Starting age 35'!I30</f>
        <v>371540.32443163591</v>
      </c>
      <c r="W27" s="14">
        <f>'Starting age 35'!J30</f>
        <v>398476.99795292952</v>
      </c>
      <c r="X27" s="14">
        <f>'Starting age 35'!K30</f>
        <v>427366.58030451689</v>
      </c>
      <c r="Y27" s="14">
        <f>'Starting age 35'!L30</f>
        <v>458350.65737659438</v>
      </c>
      <c r="Z27" s="14">
        <f>'Starting age 35'!M30</f>
        <v>491581.0800363975</v>
      </c>
      <c r="AA27" s="14">
        <f>'Starting age 35'!N30</f>
        <v>527220.70833903633</v>
      </c>
      <c r="AB27" s="14">
        <f>'Starting age 35'!O30</f>
        <v>565444.20969361649</v>
      </c>
      <c r="AC27" s="14">
        <f>'Starting age 35'!P30</f>
        <v>606438.91489640367</v>
      </c>
      <c r="AD27" s="14">
        <f>'Starting age 35'!Q30</f>
        <v>650405.73622639291</v>
      </c>
      <c r="AE27" s="14">
        <f>'Starting age 35'!R30</f>
        <v>697560.15210280637</v>
      </c>
      <c r="AF27" s="14">
        <f>'Starting age 35'!S30</f>
        <v>748133.26313025982</v>
      </c>
      <c r="AG27" s="14">
        <f>'Starting age 35'!T30</f>
        <v>802372.92470720364</v>
      </c>
      <c r="AH27" s="14">
        <f>'Starting age 35'!U30</f>
        <v>860544.96174847591</v>
      </c>
      <c r="AI27" s="14">
        <f>'Starting age 35'!V30</f>
        <v>922934.47147524043</v>
      </c>
      <c r="AJ27" s="14">
        <f>'Starting age 35'!W30</f>
        <v>989847.22065719531</v>
      </c>
      <c r="AK27" s="14">
        <f>'Starting age 35'!X30</f>
        <v>1061611.144154842</v>
      </c>
      <c r="AL27" s="14">
        <f>'Starting age 35'!Y30</f>
        <v>1138577.9521060681</v>
      </c>
      <c r="AM27" s="14">
        <f>'Starting age 35'!Z30</f>
        <v>1221124.8536337581</v>
      </c>
      <c r="AN27" s="14">
        <f>'Starting age 35'!AA30</f>
        <v>1309656.4055222056</v>
      </c>
    </row>
    <row r="28" spans="1:70" ht="15.75" customHeight="1" x14ac:dyDescent="0.2">
      <c r="A28" s="4">
        <v>40</v>
      </c>
      <c r="V28" s="14">
        <f>'Starting age 40'!D30</f>
        <v>237374.0198799833</v>
      </c>
      <c r="W28" s="14">
        <f>'Starting age 40'!E30</f>
        <v>254583.6363212821</v>
      </c>
      <c r="X28" s="14">
        <f>'Starting age 40'!F30</f>
        <v>273040.94995457504</v>
      </c>
      <c r="Y28" s="14">
        <f>'Starting age 40'!G30</f>
        <v>292836.41882628173</v>
      </c>
      <c r="Z28" s="14">
        <f>'Starting age 40'!H30</f>
        <v>314067.05919118715</v>
      </c>
      <c r="AA28" s="14">
        <f>'Starting age 40'!I30</f>
        <v>336836.92098254821</v>
      </c>
      <c r="AB28" s="14">
        <f>'Starting age 40'!J30</f>
        <v>361257.59775378299</v>
      </c>
      <c r="AC28" s="14">
        <f>'Starting age 40'!K30</f>
        <v>387448.77359093225</v>
      </c>
      <c r="AD28" s="14">
        <f>'Starting age 40'!L30</f>
        <v>415538.80967627483</v>
      </c>
      <c r="AE28" s="14">
        <f>'Starting age 40'!M30</f>
        <v>445665.37337780476</v>
      </c>
      <c r="AF28" s="14">
        <f>'Starting age 40'!N30</f>
        <v>477976.1129476956</v>
      </c>
      <c r="AG28" s="14">
        <f>'Starting age 40'!O30</f>
        <v>512629.38113640354</v>
      </c>
      <c r="AH28" s="14">
        <f>'Starting age 40'!P30</f>
        <v>549795.01126879279</v>
      </c>
      <c r="AI28" s="14">
        <f>'Starting age 40'!Q30</f>
        <v>589655.14958578022</v>
      </c>
      <c r="AJ28" s="14">
        <f>'Starting age 40'!R30</f>
        <v>632405.14793074934</v>
      </c>
      <c r="AK28" s="14">
        <f>'Starting age 40'!S30</f>
        <v>678254.52115572873</v>
      </c>
      <c r="AL28" s="14">
        <f>'Starting age 40'!T30</f>
        <v>727427.97393951903</v>
      </c>
      <c r="AM28" s="14">
        <f>'Starting age 40'!U30</f>
        <v>780166.50205013412</v>
      </c>
      <c r="AN28" s="14">
        <f>'Starting age 40'!V30</f>
        <v>836728.57344876882</v>
      </c>
      <c r="AO28" s="14">
        <f>'Starting age 40'!W30</f>
        <v>897391.39502380462</v>
      </c>
      <c r="AP28" s="14">
        <f>'Starting age 40'!X30</f>
        <v>962452.27116303053</v>
      </c>
      <c r="AQ28" s="14">
        <f>'Starting age 40'!Y30</f>
        <v>1032230.0608223502</v>
      </c>
      <c r="AR28" s="14">
        <f>'Starting age 40'!Z30</f>
        <v>1107066.7402319706</v>
      </c>
      <c r="AS28" s="14">
        <f>'Starting age 40'!AA30</f>
        <v>1187329.0788987884</v>
      </c>
    </row>
    <row r="29" spans="1:70" ht="15.75" customHeight="1" x14ac:dyDescent="0.2">
      <c r="A29" s="4">
        <v>45</v>
      </c>
      <c r="AA29" s="14">
        <f>'Starting age 45'!D30</f>
        <v>207294.74510599859</v>
      </c>
      <c r="AB29" s="14">
        <f>'Starting age 45'!E30</f>
        <v>222323.6141261835</v>
      </c>
      <c r="AC29" s="14">
        <f>'Starting age 45'!F30</f>
        <v>238442.07615033179</v>
      </c>
      <c r="AD29" s="14">
        <f>'Starting age 45'!G30</f>
        <v>255729.12667123086</v>
      </c>
      <c r="AE29" s="14">
        <f>'Starting age 45'!H30</f>
        <v>274269.48835489509</v>
      </c>
      <c r="AF29" s="14">
        <f>'Starting age 45'!I30</f>
        <v>294154.02626062499</v>
      </c>
      <c r="AG29" s="14">
        <f>'Starting age 45'!J30</f>
        <v>315480.19316452031</v>
      </c>
      <c r="AH29" s="14">
        <f>'Starting age 45'!K30</f>
        <v>338352.50716894801</v>
      </c>
      <c r="AI29" s="14">
        <f>'Starting age 45'!L30</f>
        <v>362883.06393869675</v>
      </c>
      <c r="AJ29" s="14">
        <f>'Starting age 45'!M30</f>
        <v>389192.08607425226</v>
      </c>
      <c r="AK29" s="14">
        <f>'Starting age 45'!N30</f>
        <v>417408.51231463556</v>
      </c>
      <c r="AL29" s="14">
        <f>'Starting age 45'!O30</f>
        <v>447670.62945744663</v>
      </c>
      <c r="AM29" s="14">
        <f>'Starting age 45'!P30</f>
        <v>480126.75009311154</v>
      </c>
      <c r="AN29" s="14">
        <f>'Starting age 45'!Q30</f>
        <v>514935.93947486213</v>
      </c>
      <c r="AO29" s="14">
        <f>'Starting age 45'!R30</f>
        <v>552268.79508678964</v>
      </c>
      <c r="AP29" s="14">
        <f>'Starting age 45'!S30</f>
        <v>592308.28273058194</v>
      </c>
      <c r="AQ29" s="14">
        <f>'Starting age 45'!T30</f>
        <v>635250.63322854915</v>
      </c>
      <c r="AR29" s="14">
        <f>'Starting age 45'!U30</f>
        <v>681306.30413761898</v>
      </c>
      <c r="AS29" s="14">
        <f>'Starting age 45'!V30</f>
        <v>730701.01118759636</v>
      </c>
      <c r="AT29" s="14">
        <f>'Starting age 45'!W30</f>
        <v>783676.83449869708</v>
      </c>
      <c r="AU29" s="14">
        <f>'Starting age 45'!X30</f>
        <v>840493.40499985265</v>
      </c>
      <c r="AV29" s="14">
        <f>'Starting age 45'!Y30</f>
        <v>901429.17686234193</v>
      </c>
      <c r="AW29" s="14">
        <f>'Starting age 45'!Z30</f>
        <v>966782.79218486173</v>
      </c>
      <c r="AX29" s="14">
        <f>'Starting age 45'!AA30</f>
        <v>1036874.5446182642</v>
      </c>
      <c r="AY29">
        <f>'Starting age 45'!AB30</f>
        <v>0</v>
      </c>
    </row>
    <row r="30" spans="1:70" ht="15.75" customHeight="1" x14ac:dyDescent="0.2"/>
    <row r="31" spans="1:70" ht="15.75" customHeight="1" x14ac:dyDescent="0.2"/>
    <row r="32" spans="1:7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spans="1:70" ht="15.75" customHeight="1" x14ac:dyDescent="0.2"/>
    <row r="50" spans="1:70" ht="15.75" customHeight="1" x14ac:dyDescent="0.25">
      <c r="A50" s="58" t="s">
        <v>85</v>
      </c>
      <c r="B50" s="59">
        <v>20</v>
      </c>
      <c r="C50" s="59">
        <v>21</v>
      </c>
      <c r="D50" s="59">
        <v>22</v>
      </c>
      <c r="E50" s="59">
        <v>23</v>
      </c>
      <c r="F50" s="59">
        <v>24</v>
      </c>
      <c r="G50" s="59">
        <v>25</v>
      </c>
      <c r="H50" s="59">
        <v>26</v>
      </c>
      <c r="I50" s="59">
        <v>27</v>
      </c>
      <c r="J50" s="59">
        <v>28</v>
      </c>
      <c r="K50" s="59">
        <v>29</v>
      </c>
      <c r="L50" s="59">
        <v>30</v>
      </c>
      <c r="M50" s="59">
        <v>31</v>
      </c>
      <c r="N50" s="59">
        <v>32</v>
      </c>
      <c r="O50" s="59">
        <v>33</v>
      </c>
      <c r="P50" s="59">
        <v>34</v>
      </c>
      <c r="Q50" s="59">
        <v>35</v>
      </c>
      <c r="R50" s="59">
        <v>36</v>
      </c>
      <c r="S50" s="59">
        <v>37</v>
      </c>
      <c r="T50" s="59">
        <v>38</v>
      </c>
      <c r="U50" s="59">
        <v>39</v>
      </c>
      <c r="V50" s="59">
        <v>40</v>
      </c>
      <c r="W50" s="59">
        <v>41</v>
      </c>
      <c r="X50" s="59">
        <v>42</v>
      </c>
      <c r="Y50" s="59">
        <v>43</v>
      </c>
      <c r="Z50" s="59">
        <v>44</v>
      </c>
      <c r="AA50" s="59">
        <v>45</v>
      </c>
      <c r="AB50" s="59">
        <v>46</v>
      </c>
      <c r="AC50" s="59">
        <v>47</v>
      </c>
      <c r="AD50" s="59">
        <v>48</v>
      </c>
      <c r="AE50" s="59">
        <v>49</v>
      </c>
      <c r="AF50" s="59">
        <v>50</v>
      </c>
      <c r="AG50" s="59">
        <v>51</v>
      </c>
      <c r="AH50" s="59">
        <v>52</v>
      </c>
      <c r="AI50" s="59">
        <v>53</v>
      </c>
      <c r="AJ50" s="59">
        <v>54</v>
      </c>
      <c r="AK50" s="59">
        <v>55</v>
      </c>
      <c r="AL50" s="59">
        <v>56</v>
      </c>
      <c r="AM50" s="59">
        <v>57</v>
      </c>
      <c r="AN50" s="59">
        <v>58</v>
      </c>
      <c r="AO50" s="59">
        <v>59</v>
      </c>
      <c r="AP50" s="59">
        <v>60</v>
      </c>
      <c r="AQ50" s="59">
        <v>61</v>
      </c>
      <c r="AR50" s="59">
        <v>62</v>
      </c>
      <c r="AS50" s="59">
        <v>63</v>
      </c>
      <c r="AT50" s="59">
        <v>64</v>
      </c>
      <c r="AU50" s="59">
        <v>65</v>
      </c>
      <c r="AV50" s="59">
        <v>66</v>
      </c>
      <c r="AW50" s="59">
        <v>67</v>
      </c>
      <c r="AX50" s="59">
        <v>68</v>
      </c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</row>
    <row r="51" spans="1:70" ht="15.75" customHeight="1" x14ac:dyDescent="0.2">
      <c r="A51" s="4">
        <v>20</v>
      </c>
      <c r="C51" s="14">
        <f>'Starting age 21'!D34</f>
        <v>-300980.73211522977</v>
      </c>
      <c r="D51" s="14">
        <f>'Starting age 21'!E34</f>
        <v>-314794.40361858392</v>
      </c>
      <c r="E51" s="14">
        <f>'Starting age 21'!F34</f>
        <v>-329342.17255593132</v>
      </c>
      <c r="F51" s="14">
        <f>'Starting age 21'!G34</f>
        <v>-345629.67316623632</v>
      </c>
      <c r="G51" s="14">
        <f>'Starting age 21'!H34</f>
        <v>-363783.03599578846</v>
      </c>
      <c r="H51" s="14">
        <f>'Starting age 21'!I34</f>
        <v>-383937.5360554831</v>
      </c>
      <c r="I51" s="14">
        <f>'Starting age 21'!J34</f>
        <v>-405577.20579450566</v>
      </c>
      <c r="J51" s="14">
        <f>'Starting age 21'!K34</f>
        <v>-429518.69613960729</v>
      </c>
      <c r="K51" s="14">
        <f>'Starting age 21'!L34</f>
        <v>-455928.88908472878</v>
      </c>
      <c r="L51" s="14">
        <f>'Starting age 21'!M34</f>
        <v>-484986.76556837163</v>
      </c>
      <c r="M51" s="14">
        <f>'Starting age 21'!N35</f>
        <v>-512723.43178056151</v>
      </c>
      <c r="N51" s="14">
        <f>'Starting age 21'!O35</f>
        <v>-538987.04297361569</v>
      </c>
      <c r="O51" s="14">
        <f>'Starting age 21'!P35</f>
        <v>-566581.82706720312</v>
      </c>
      <c r="P51" s="14">
        <f>'Starting age 21'!Q35</f>
        <v>-595592.26963334379</v>
      </c>
      <c r="Q51" s="14">
        <f>'Starting age 21'!R35</f>
        <v>-624537.69539303135</v>
      </c>
      <c r="R51" s="14">
        <f>'Starting age 21'!S35</f>
        <v>-644908.70972467749</v>
      </c>
      <c r="S51" s="14">
        <f>'Starting age 21'!T35</f>
        <v>-674110.98412191612</v>
      </c>
      <c r="T51" s="14">
        <f>'Starting age 21'!U35</f>
        <v>-699725.07978879591</v>
      </c>
      <c r="U51" s="14">
        <f>'Starting age 21'!V35</f>
        <v>-732878.13805505075</v>
      </c>
      <c r="V51" s="14">
        <f>'Starting age 21'!W35</f>
        <v>-767613.0589911507</v>
      </c>
    </row>
    <row r="52" spans="1:70" ht="15.75" customHeight="1" x14ac:dyDescent="0.2">
      <c r="A52" s="4">
        <v>25</v>
      </c>
      <c r="G52" s="14">
        <f>'Starting age 25'!D34</f>
        <v>-290252.22047205694</v>
      </c>
      <c r="H52" s="14">
        <f>'Starting age 25'!E34</f>
        <v>-303288.07488128106</v>
      </c>
      <c r="I52" s="14">
        <f>'Starting age 25'!F34</f>
        <v>-317001.63498517399</v>
      </c>
      <c r="J52" s="14">
        <f>'Starting age 25'!G34</f>
        <v>-332394.44662159908</v>
      </c>
      <c r="K52" s="14">
        <f>'Starting age 25'!H34</f>
        <v>-349588.25552666507</v>
      </c>
      <c r="L52" s="14">
        <f>'Starting age 25'!I34</f>
        <v>-368713.63400234829</v>
      </c>
      <c r="M52" s="14">
        <f>'Starting age 25'!J34</f>
        <v>-389249.57084251859</v>
      </c>
      <c r="N52" s="14">
        <f>'Starting age 25'!K34</f>
        <v>-412007.30765360116</v>
      </c>
      <c r="O52" s="14">
        <f>'Starting age 25'!L34</f>
        <v>-437147.92493348726</v>
      </c>
      <c r="P52" s="14">
        <f>'Starting age 25'!M34</f>
        <v>-464844.18151616515</v>
      </c>
      <c r="Q52" s="14">
        <f>'Starting age 25'!N35</f>
        <v>-471715.19734570035</v>
      </c>
      <c r="R52" s="14">
        <f>'Starting age 25'!O35</f>
        <v>-493058.10176592623</v>
      </c>
      <c r="S52" s="14">
        <f>'Starting age 25'!P35</f>
        <v>-515273.13817337283</v>
      </c>
      <c r="T52" s="14">
        <f>'Starting age 25'!Q35</f>
        <v>-538409.36488579563</v>
      </c>
      <c r="U52" s="14">
        <f>'Starting age 25'!R35</f>
        <v>-560667.58127285156</v>
      </c>
      <c r="V52" s="14">
        <f>'Starting age 25'!S35</f>
        <v>-574376.28586770326</v>
      </c>
      <c r="W52" s="14">
        <f>'Starting age 25'!T35</f>
        <v>-592740.70346735371</v>
      </c>
      <c r="X52" s="14">
        <f>'Starting age 25'!U35</f>
        <v>-608302.91606004001</v>
      </c>
      <c r="Y52" s="14">
        <f>'Starting age 25'!V35</f>
        <v>-631689.75524174888</v>
      </c>
      <c r="Z52" s="14">
        <f>'Starting age 25'!W35</f>
        <v>-655803.69788610609</v>
      </c>
    </row>
    <row r="53" spans="1:70" ht="15.75" customHeight="1" x14ac:dyDescent="0.2">
      <c r="A53" s="4">
        <v>30</v>
      </c>
      <c r="L53" s="14">
        <f>'Starting age 30'!D34</f>
        <v>-274085.49837941356</v>
      </c>
      <c r="M53" s="14">
        <f>'Starting age 30'!E34</f>
        <v>-285949.26543692104</v>
      </c>
      <c r="N53" s="14">
        <f>'Starting age 30'!F34</f>
        <v>-298405.76185609784</v>
      </c>
      <c r="O53" s="14">
        <f>'Starting age 30'!G34</f>
        <v>-312450.3726906649</v>
      </c>
      <c r="P53" s="14">
        <f>'Starting age 30'!H34</f>
        <v>-328198.23623573815</v>
      </c>
      <c r="Q53" s="14">
        <f>'Starting age 30'!I34</f>
        <v>-345772.83831282915</v>
      </c>
      <c r="R53" s="14">
        <f>'Starting age 30'!J34</f>
        <v>-364645.56746550929</v>
      </c>
      <c r="S53" s="14">
        <f>'Starting age 30'!K34</f>
        <v>-385619.51403175871</v>
      </c>
      <c r="T53" s="14">
        <f>'Starting age 30'!L34</f>
        <v>-408847.01627406117</v>
      </c>
      <c r="U53" s="14">
        <f>'Starting age 30'!M34</f>
        <v>-434491.45697893063</v>
      </c>
      <c r="V53" s="14">
        <f>'Starting age 30'!N35</f>
        <v>-409963.06701075262</v>
      </c>
      <c r="W53" s="14">
        <f>'Starting age 30'!O35</f>
        <v>-423898.40780185879</v>
      </c>
      <c r="X53" s="14">
        <f>'Starting age 30'!P35</f>
        <v>-438014.91874605202</v>
      </c>
      <c r="Y53" s="14">
        <f>'Starting age 30'!Q35</f>
        <v>-452308.33319388825</v>
      </c>
      <c r="Z53" s="14">
        <f>'Starting age 30'!R35</f>
        <v>-464500.15150015627</v>
      </c>
      <c r="AA53" s="14">
        <f>'Starting age 30'!S35</f>
        <v>-468038.55986957613</v>
      </c>
      <c r="AB53" s="14">
        <f>'Starting age 30'!T35</f>
        <v>-479256.7674772403</v>
      </c>
      <c r="AC53" s="14">
        <f>'Starting age 30'!U35</f>
        <v>-470663.63690660673</v>
      </c>
      <c r="AD53" s="14">
        <f>'Starting age 30'!V35</f>
        <v>-479349.76608764584</v>
      </c>
      <c r="AE53" s="14">
        <f>'Starting age 30'!W35</f>
        <v>-487476.44782181818</v>
      </c>
    </row>
    <row r="54" spans="1:70" ht="15.75" customHeight="1" x14ac:dyDescent="0.2">
      <c r="A54" s="4">
        <v>35</v>
      </c>
      <c r="Q54" s="14">
        <f>'Starting age 35'!D34</f>
        <v>-254201.49771961564</v>
      </c>
      <c r="R54" s="14">
        <f>'Starting age 35'!E34</f>
        <v>-264623.67472928774</v>
      </c>
      <c r="S54" s="14">
        <f>'Starting age 35'!F34</f>
        <v>-275534.06582216115</v>
      </c>
      <c r="T54" s="14">
        <f>'Starting age 35'!G34</f>
        <v>-287920.4786942678</v>
      </c>
      <c r="U54" s="14">
        <f>'Starting age 35'!H34</f>
        <v>-301889.92492460227</v>
      </c>
      <c r="V54" s="14">
        <f>'Starting age 35'!I34</f>
        <v>-317557.17443163588</v>
      </c>
      <c r="W54" s="14">
        <f>'Starting age 35'!J34</f>
        <v>-334384.26795292954</v>
      </c>
      <c r="X54" s="14">
        <f>'Starting age 35'!K34</f>
        <v>-353164.27030451689</v>
      </c>
      <c r="Y54" s="14">
        <f>'Starting age 35'!L34</f>
        <v>-374038.76737659436</v>
      </c>
      <c r="Z54" s="14">
        <f>'Starting age 35'!M34</f>
        <v>-397159.61003639747</v>
      </c>
      <c r="AA54" s="14">
        <f>'Starting age 35'!N35</f>
        <v>-334070.16507361311</v>
      </c>
      <c r="AB54" s="14">
        <f>'Starting age 35'!O35</f>
        <v>-338904.74222730484</v>
      </c>
      <c r="AC54" s="14">
        <f>'Starting age 35'!P35</f>
        <v>-343071.68723702175</v>
      </c>
      <c r="AD54" s="14">
        <f>'Starting age 35'!Q35</f>
        <v>-346501.22874403367</v>
      </c>
      <c r="AE54" s="14">
        <f>'Starting age 35'!R35</f>
        <v>-346326.28885259433</v>
      </c>
      <c r="AF54" s="14">
        <f>'Starting age 35'!S35</f>
        <v>-334934.0498451356</v>
      </c>
      <c r="AG54" s="14">
        <f>'Starting age 35'!T35</f>
        <v>-319698.75171448488</v>
      </c>
      <c r="AH54" s="14">
        <f>'Starting age 35'!U35</f>
        <v>-301544.67832256702</v>
      </c>
      <c r="AI54" s="14">
        <f>'Starting age 35'!V35</f>
        <v>-292171.50639900984</v>
      </c>
      <c r="AJ54" s="14">
        <f>'Starting age 35'!W35</f>
        <v>-280658.52002732595</v>
      </c>
    </row>
    <row r="55" spans="1:70" ht="15.75" customHeight="1" x14ac:dyDescent="0.2">
      <c r="A55" s="4">
        <v>40</v>
      </c>
      <c r="V55" s="14">
        <f>'Starting age 40'!D34</f>
        <v>-229745.4898799833</v>
      </c>
      <c r="W55" s="14">
        <f>'Starting age 40'!E34</f>
        <v>-238394.6063212821</v>
      </c>
      <c r="X55" s="14">
        <f>'Starting age 40'!F34</f>
        <v>-247403.38995457505</v>
      </c>
      <c r="Y55" s="14">
        <f>'Starting age 40'!G34</f>
        <v>-257750.32882628174</v>
      </c>
      <c r="Z55" s="14">
        <f>'Starting age 40'!H34</f>
        <v>-269532.43919118715</v>
      </c>
      <c r="AA55" s="14">
        <f>'Starting age 40'!I34</f>
        <v>-282853.77098254819</v>
      </c>
      <c r="AB55" s="14">
        <f>'Starting age 40'!J34</f>
        <v>-297164.86775378301</v>
      </c>
      <c r="AC55" s="14">
        <f>'Starting age 40'!K34</f>
        <v>-313246.46359093225</v>
      </c>
      <c r="AD55" s="14">
        <f>'Starting age 40'!L34</f>
        <v>-331226.91967627482</v>
      </c>
      <c r="AE55" s="14">
        <f>'Starting age 40'!M34</f>
        <v>-351243.90337780479</v>
      </c>
      <c r="AF55" s="14">
        <f>'Starting age 40'!N35</f>
        <v>-240798.30057442302</v>
      </c>
      <c r="AG55" s="14">
        <f>'Starting age 40'!O35</f>
        <v>-234451.88082240644</v>
      </c>
      <c r="AH55" s="14">
        <f>'Starting age 40'!P35</f>
        <v>-226395.12923362799</v>
      </c>
      <c r="AI55" s="14">
        <f>'Starting age 40'!Q35</f>
        <v>-216477.8080341547</v>
      </c>
      <c r="AJ55" s="14">
        <f>'Starting age 40'!R35</f>
        <v>-201110.066339274</v>
      </c>
      <c r="AK55" s="14">
        <f>'Starting age 40'!S35</f>
        <v>-170869.53623931878</v>
      </c>
      <c r="AL55" s="14">
        <f>'Starting age 40'!T35</f>
        <v>-134731.71482428454</v>
      </c>
      <c r="AM55" s="14">
        <f>'Starting age 40'!U35</f>
        <v>-93746.147763040266</v>
      </c>
      <c r="AN55" s="14">
        <f>'Starting age 40'!V35</f>
        <v>-62187.753352403408</v>
      </c>
      <c r="AO55" s="14">
        <f>'Starting age 40'!W35</f>
        <v>-26548.260277379188</v>
      </c>
    </row>
    <row r="56" spans="1:70" ht="15.75" customHeight="1" x14ac:dyDescent="0.2">
      <c r="A56" s="4">
        <v>45</v>
      </c>
      <c r="AA56" s="14">
        <f>'Starting age 45'!D34</f>
        <v>-199666.21510599859</v>
      </c>
      <c r="AB56" s="14">
        <f>'Starting age 45'!E34</f>
        <v>-206134.5841261835</v>
      </c>
      <c r="AC56" s="14">
        <f>'Starting age 45'!F34</f>
        <v>-212804.51615033179</v>
      </c>
      <c r="AD56" s="14">
        <f>'Starting age 45'!G34</f>
        <v>-220643.03667123086</v>
      </c>
      <c r="AE56" s="14">
        <f>'Starting age 45'!H34</f>
        <v>-229734.86835489509</v>
      </c>
      <c r="AF56" s="14">
        <f>'Starting age 45'!I34</f>
        <v>-240170.87626062499</v>
      </c>
      <c r="AG56" s="14">
        <f>'Starting age 45'!J34</f>
        <v>-251387.4631645203</v>
      </c>
      <c r="AH56" s="14">
        <f>'Starting age 45'!K34</f>
        <v>-264150.19716894801</v>
      </c>
      <c r="AI56" s="14">
        <f>'Starting age 45'!L34</f>
        <v>-278571.17393869674</v>
      </c>
      <c r="AJ56" s="14">
        <f>'Starting age 45'!M34</f>
        <v>-294770.61607425229</v>
      </c>
      <c r="AK56" s="14">
        <f>'Starting age 45'!N35</f>
        <v>-126167.7333287372</v>
      </c>
      <c r="AL56" s="14">
        <f>'Starting age 45'!O35</f>
        <v>-106084.58025190869</v>
      </c>
      <c r="AM56" s="14">
        <f>'Starting age 45'!P35</f>
        <v>-83010.204386735102</v>
      </c>
      <c r="AN56" s="14">
        <f>'Starting age 45'!Q35</f>
        <v>-56695.522439842462</v>
      </c>
      <c r="AO56" s="14">
        <f>'Starting age 45'!R35</f>
        <v>-22663.119587090798</v>
      </c>
      <c r="AP56" s="14">
        <f>'Starting age 45'!S35</f>
        <v>30731.43913108937</v>
      </c>
      <c r="AQ56" s="14">
        <f>'Starting age 45'!T35</f>
        <v>92546.450653319829</v>
      </c>
      <c r="AR56" s="14">
        <f>'Starting age 45'!U35</f>
        <v>176750.53277492826</v>
      </c>
      <c r="AS56" s="14">
        <f>'Starting age 45'!V35</f>
        <v>178242.4563229538</v>
      </c>
      <c r="AT56" s="14">
        <f>'Starting age 45'!W35</f>
        <v>174316.63210917031</v>
      </c>
      <c r="AY56">
        <f>'Starting age 45'!AB39</f>
        <v>0</v>
      </c>
    </row>
    <row r="57" spans="1:70" ht="15.75" customHeight="1" x14ac:dyDescent="0.2"/>
    <row r="58" spans="1:70" ht="15.75" customHeight="1" x14ac:dyDescent="0.2"/>
    <row r="59" spans="1:70" ht="15.75" customHeight="1" x14ac:dyDescent="0.2"/>
    <row r="60" spans="1:70" ht="15.75" customHeight="1" x14ac:dyDescent="0.2"/>
    <row r="61" spans="1:70" ht="15.75" customHeight="1" x14ac:dyDescent="0.2"/>
    <row r="62" spans="1:70" ht="15.75" customHeight="1" x14ac:dyDescent="0.2"/>
    <row r="63" spans="1:70" ht="15.75" customHeight="1" x14ac:dyDescent="0.2"/>
    <row r="64" spans="1:7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age 21</vt:lpstr>
      <vt:lpstr>Starting age 25</vt:lpstr>
      <vt:lpstr>Starting age 30</vt:lpstr>
      <vt:lpstr>Starting age 35</vt:lpstr>
      <vt:lpstr>Starting age 40</vt:lpstr>
      <vt:lpstr>Starting age 45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Endres, Michael</dc:creator>
  <cp:lastModifiedBy>Mike Endres</cp:lastModifiedBy>
  <dcterms:created xsi:type="dcterms:W3CDTF">2019-06-07T05:42:50Z</dcterms:created>
  <dcterms:modified xsi:type="dcterms:W3CDTF">2019-06-28T18:41:40Z</dcterms:modified>
</cp:coreProperties>
</file>